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289E4A-068B-49AC-B7ED-9DBA56ED4D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udžetas" sheetId="1" r:id="rId1"/>
    <sheet name="išlaidos%" sheetId="2" r:id="rId2"/>
    <sheet name="Lapas2" sheetId="5" r:id="rId3"/>
    <sheet name="Lapas1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6" i="2" l="1"/>
  <c r="C15" i="2"/>
  <c r="B15" i="2"/>
  <c r="C9" i="2"/>
  <c r="B9" i="2"/>
  <c r="C23" i="2"/>
  <c r="B23" i="2"/>
  <c r="B26" i="2" s="1"/>
  <c r="C33" i="2"/>
  <c r="B33" i="2"/>
  <c r="C32" i="2"/>
  <c r="B32" i="2"/>
  <c r="C31" i="2"/>
  <c r="B31" i="2"/>
  <c r="C30" i="2"/>
  <c r="B30" i="2"/>
  <c r="C14" i="2"/>
  <c r="B14" i="2"/>
  <c r="C29" i="2"/>
  <c r="B29" i="2"/>
  <c r="C13" i="2"/>
  <c r="B13" i="2"/>
  <c r="C28" i="2"/>
  <c r="C10" i="2"/>
  <c r="B28" i="2"/>
  <c r="B10" i="2"/>
  <c r="C7" i="2"/>
  <c r="B7" i="2"/>
  <c r="C11" i="2"/>
  <c r="B11" i="2"/>
  <c r="C6" i="2"/>
  <c r="B6" i="2"/>
  <c r="C5" i="2"/>
  <c r="B5" i="2"/>
  <c r="C26" i="2"/>
  <c r="C21" i="2"/>
  <c r="B21" i="2"/>
  <c r="C12" i="2"/>
  <c r="B18" i="1"/>
  <c r="C18" i="1"/>
  <c r="I68" i="1"/>
  <c r="D61" i="1"/>
  <c r="I43" i="1"/>
  <c r="D43" i="1"/>
  <c r="D36" i="1"/>
  <c r="I32" i="1"/>
  <c r="I33" i="1"/>
  <c r="I34" i="1"/>
  <c r="I35" i="1"/>
  <c r="I36" i="1"/>
  <c r="H37" i="1"/>
  <c r="I28" i="1"/>
  <c r="I27" i="1"/>
  <c r="B37" i="1"/>
  <c r="H69" i="1"/>
  <c r="G69" i="1"/>
  <c r="C69" i="1"/>
  <c r="B69" i="1"/>
  <c r="I67" i="1"/>
  <c r="D68" i="1"/>
  <c r="I66" i="1"/>
  <c r="D67" i="1"/>
  <c r="I65" i="1"/>
  <c r="D66" i="1"/>
  <c r="D65" i="1"/>
  <c r="H62" i="1"/>
  <c r="G62" i="1"/>
  <c r="I61" i="1"/>
  <c r="B62" i="1"/>
  <c r="I60" i="1"/>
  <c r="D60" i="1"/>
  <c r="I59" i="1"/>
  <c r="D59" i="1"/>
  <c r="I58" i="1"/>
  <c r="D58" i="1"/>
  <c r="I57" i="1"/>
  <c r="D57" i="1"/>
  <c r="H54" i="1"/>
  <c r="G54" i="1"/>
  <c r="C54" i="1"/>
  <c r="B54" i="1"/>
  <c r="I53" i="1"/>
  <c r="I52" i="1"/>
  <c r="I51" i="1"/>
  <c r="D53" i="1"/>
  <c r="I50" i="1"/>
  <c r="D52" i="1"/>
  <c r="I49" i="1"/>
  <c r="D51" i="1"/>
  <c r="I48" i="1"/>
  <c r="D50" i="1"/>
  <c r="I47" i="1"/>
  <c r="D49" i="1"/>
  <c r="D48" i="1"/>
  <c r="D47" i="1"/>
  <c r="H44" i="1"/>
  <c r="G44" i="1"/>
  <c r="I42" i="1"/>
  <c r="C44" i="1"/>
  <c r="B44" i="1"/>
  <c r="I41" i="1"/>
  <c r="D42" i="1"/>
  <c r="I40" i="1"/>
  <c r="D41" i="1"/>
  <c r="D40" i="1"/>
  <c r="G37" i="1"/>
  <c r="C37" i="1"/>
  <c r="D35" i="1"/>
  <c r="D34" i="1"/>
  <c r="D33" i="1"/>
  <c r="D32" i="1"/>
  <c r="C29" i="1"/>
  <c r="B29" i="1"/>
  <c r="D28" i="1"/>
  <c r="H29" i="1"/>
  <c r="G29" i="1"/>
  <c r="D27" i="1"/>
  <c r="I26" i="1"/>
  <c r="D26" i="1"/>
  <c r="I25" i="1"/>
  <c r="D25" i="1"/>
  <c r="I24" i="1"/>
  <c r="D24" i="1"/>
  <c r="I23" i="1"/>
  <c r="D23" i="1"/>
  <c r="I22" i="1"/>
  <c r="D22" i="1"/>
  <c r="I21" i="1"/>
  <c r="D21" i="1"/>
  <c r="D17" i="1"/>
  <c r="D15" i="1"/>
  <c r="D14" i="1"/>
  <c r="G13" i="1"/>
  <c r="C36" i="2" s="1"/>
  <c r="D13" i="1"/>
  <c r="D12" i="1"/>
  <c r="D11" i="1"/>
  <c r="D10" i="1"/>
  <c r="D9" i="1"/>
  <c r="D8" i="1"/>
  <c r="G7" i="1"/>
  <c r="D7" i="1"/>
  <c r="G16" i="1" l="1"/>
  <c r="B12" i="2"/>
  <c r="B16" i="2" s="1"/>
  <c r="B4" i="2" s="1"/>
  <c r="C22" i="2"/>
  <c r="C17" i="2"/>
  <c r="B34" i="2"/>
  <c r="B27" i="2" s="1"/>
  <c r="B17" i="2"/>
  <c r="C34" i="2"/>
  <c r="C27" i="2" s="1"/>
  <c r="B22" i="2"/>
  <c r="C16" i="2"/>
  <c r="C4" i="2" s="1"/>
  <c r="D16" i="1"/>
  <c r="D18" i="1" s="1"/>
  <c r="C62" i="1"/>
  <c r="C4" i="1" s="1"/>
  <c r="D69" i="1"/>
  <c r="I54" i="1"/>
  <c r="I62" i="1"/>
  <c r="D62" i="1"/>
  <c r="I37" i="1"/>
  <c r="I29" i="1"/>
  <c r="I44" i="1"/>
  <c r="D44" i="1"/>
  <c r="D54" i="1"/>
  <c r="I69" i="1"/>
  <c r="D37" i="1"/>
  <c r="D29" i="1"/>
  <c r="B4" i="1"/>
  <c r="G15" i="1" s="1"/>
  <c r="D4" i="1" l="1"/>
  <c r="G17" i="1"/>
</calcChain>
</file>

<file path=xl/sharedStrings.xml><?xml version="1.0" encoding="utf-8"?>
<sst xmlns="http://schemas.openxmlformats.org/spreadsheetml/2006/main" count="169" uniqueCount="100">
  <si>
    <t>Viso Suplanuotos išlaidos</t>
  </si>
  <si>
    <t>Viso patirtos išlaidos</t>
  </si>
  <si>
    <t>Viso Skirtumas</t>
  </si>
  <si>
    <t>Suplanuotos mėnesio pajamos</t>
  </si>
  <si>
    <t>Būstas</t>
  </si>
  <si>
    <t>Suplanuotos išlaidos</t>
  </si>
  <si>
    <t>Patirtos išlaidos</t>
  </si>
  <si>
    <t>Skirtumas</t>
  </si>
  <si>
    <t>Papildomos pajamos</t>
  </si>
  <si>
    <t>Būsto nuoma/paskola</t>
  </si>
  <si>
    <t>Viso mėnesio pajamos</t>
  </si>
  <si>
    <t>Telefonas, internetas</t>
  </si>
  <si>
    <t>Komunalinės išlaidos</t>
  </si>
  <si>
    <t>Gautos mėnesio pajamos</t>
  </si>
  <si>
    <t>Remontas</t>
  </si>
  <si>
    <t xml:space="preserve">Suplanuotas balansas
</t>
  </si>
  <si>
    <t>Gautas balansas</t>
  </si>
  <si>
    <t>Viso</t>
  </si>
  <si>
    <t>Transportas</t>
  </si>
  <si>
    <t>Išleista</t>
  </si>
  <si>
    <t>Automobilio nuoma/lizingas</t>
  </si>
  <si>
    <t>Kuras</t>
  </si>
  <si>
    <t>Automobilio draudimas</t>
  </si>
  <si>
    <t>Taxi, viešasis transportas</t>
  </si>
  <si>
    <t>Parkingas</t>
  </si>
  <si>
    <t>Plovykla</t>
  </si>
  <si>
    <t>Kita</t>
  </si>
  <si>
    <t>Pramogos</t>
  </si>
  <si>
    <t>Televizija</t>
  </si>
  <si>
    <t>Žaidimai</t>
  </si>
  <si>
    <t>Maistas</t>
  </si>
  <si>
    <t>Parduotuvės</t>
  </si>
  <si>
    <t>Apgyvendinimas</t>
  </si>
  <si>
    <t>Vaikai</t>
  </si>
  <si>
    <t>Sveikata</t>
  </si>
  <si>
    <t>Drabužiai</t>
  </si>
  <si>
    <t>Asmeninė priežiūra</t>
  </si>
  <si>
    <t>Sporto klubas</t>
  </si>
  <si>
    <t>Kišenpinigiai</t>
  </si>
  <si>
    <t>Masažas</t>
  </si>
  <si>
    <t>Gyvūnai</t>
  </si>
  <si>
    <t>Knygos</t>
  </si>
  <si>
    <t>Seminarai, mokslai</t>
  </si>
  <si>
    <t>Terapija, koučingas</t>
  </si>
  <si>
    <t>Žaislai</t>
  </si>
  <si>
    <t>Atlyginimas</t>
  </si>
  <si>
    <t>Valymas</t>
  </si>
  <si>
    <t>Buitinės išlaidos</t>
  </si>
  <si>
    <t>Stulpelis1</t>
  </si>
  <si>
    <t>Kavinės, restoranai</t>
  </si>
  <si>
    <t>Darželis/mokykla</t>
  </si>
  <si>
    <t>Būreliai</t>
  </si>
  <si>
    <t>Gyvybės draudimas</t>
  </si>
  <si>
    <t>Investicijos</t>
  </si>
  <si>
    <t>Programėlės</t>
  </si>
  <si>
    <t>Bilietai</t>
  </si>
  <si>
    <t>Muziejai</t>
  </si>
  <si>
    <t>Suvenyrai, lauktuvės</t>
  </si>
  <si>
    <t>Nagai. Plaukai</t>
  </si>
  <si>
    <t>Higienos prekės</t>
  </si>
  <si>
    <t>Šeimos išlaidos</t>
  </si>
  <si>
    <t>KIta</t>
  </si>
  <si>
    <t>Taupymas, investicijos</t>
  </si>
  <si>
    <t>Dovanos</t>
  </si>
  <si>
    <t>Saviugda</t>
  </si>
  <si>
    <t>Kinas, teatras, koncertai</t>
  </si>
  <si>
    <t>Parama, labdara</t>
  </si>
  <si>
    <t>BŪTINOS</t>
  </si>
  <si>
    <t>Kelionės</t>
  </si>
  <si>
    <t>Prenumeratos</t>
  </si>
  <si>
    <t>Pastovios išlaidos Viso</t>
  </si>
  <si>
    <t>INVESTICIJOS</t>
  </si>
  <si>
    <t>Pensijų kapimui</t>
  </si>
  <si>
    <t>Akcijos/fondai</t>
  </si>
  <si>
    <t>Investicijos Viso</t>
  </si>
  <si>
    <t>TAUPYMO TIKSLAI</t>
  </si>
  <si>
    <t>Finansinei pagalvei</t>
  </si>
  <si>
    <t>Atostogoms</t>
  </si>
  <si>
    <t>Taupymui Viso</t>
  </si>
  <si>
    <t>VISAM KITAM (visam kas nebūtina)</t>
  </si>
  <si>
    <t>Nebūtinos išlaidos Viso</t>
  </si>
  <si>
    <t xml:space="preserve">Suplanuotos </t>
  </si>
  <si>
    <t>Faktas</t>
  </si>
  <si>
    <t>BŪTINOSIOS IŠLAIDOS/PASTOVIOS</t>
  </si>
  <si>
    <t>Skolos išmokėjimas (Sodrai, VMI)</t>
  </si>
  <si>
    <t>Automobilis, kuras, remontas, taxi</t>
  </si>
  <si>
    <t>Maistas parduotuvėj</t>
  </si>
  <si>
    <t>Maistas restorane</t>
  </si>
  <si>
    <t>Medicina, vaistai</t>
  </si>
  <si>
    <t>Nagai, Plaukai</t>
  </si>
  <si>
    <t>Terapija</t>
  </si>
  <si>
    <t>50/30/20 Taisyklė</t>
  </si>
  <si>
    <t>Pajamos</t>
  </si>
  <si>
    <t>FINANSINIS PLANAS</t>
  </si>
  <si>
    <t>50%-būtinosios išlaidos</t>
  </si>
  <si>
    <t>30%-nebūtinos, kurios teikia džiaugsmą</t>
  </si>
  <si>
    <t>20%- taupymas ir investicijos</t>
  </si>
  <si>
    <t>Skola Visitai</t>
  </si>
  <si>
    <t>Finansinė pagalvė</t>
  </si>
  <si>
    <t>MĖNESIO BIUDŽETAS (gegužė)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</si>
</sst>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&quot;€&quot;"/>
    <numFmt numFmtId="165" formatCode="#,##0\ &quot;€&quot;"/>
  </numFmts>
  <fonts count="16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186"/>
      <scheme val="major"/>
    </font>
    <font>
      <b/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b/>
      <i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0"/>
      <name val="Calibri"/>
      <family val="2"/>
      <charset val="186"/>
      <scheme val="minor"/>
    </font>
    <font>
      <b/>
      <sz val="14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  <font>
      <b/>
      <sz val="11"/>
      <color rgb="FFA01D28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4"/>
        <bgColor theme="5"/>
      </patternFill>
    </fill>
    <fill>
      <patternFill patternType="solid">
        <fgColor rgb="FFFFFF00"/>
        <bgColor indexed="64"/>
      </patternFill>
    </fill>
    <fill>
      <patternFill patternType="solid">
        <fgColor rgb="FF1F4A50"/>
        <bgColor indexed="64"/>
      </patternFill>
    </fill>
    <fill>
      <patternFill patternType="solid">
        <fgColor rgb="FFFAF6EA"/>
        <bgColor indexed="64"/>
      </patternFill>
    </fill>
  </fills>
  <borders count="11">
    <border>
      <left/>
      <right/>
      <top/>
      <bottom/>
      <diagonal/>
    </border>
    <border>
      <left style="thin">
        <color theme="4"/>
      </left>
      <right/>
      <top style="thin">
        <color theme="4"/>
      </top>
      <bottom style="thin">
        <color theme="0"/>
      </bottom>
      <diagonal/>
    </border>
    <border>
      <left/>
      <right/>
      <top style="thin">
        <color theme="4"/>
      </top>
      <bottom style="thin">
        <color theme="0"/>
      </bottom>
      <diagonal/>
    </border>
    <border>
      <left/>
      <right style="thin">
        <color theme="4"/>
      </right>
      <top style="thin">
        <color theme="4"/>
      </top>
      <bottom style="thin">
        <color theme="0"/>
      </bottom>
      <diagonal/>
    </border>
    <border>
      <left style="thin">
        <color theme="4"/>
      </left>
      <right/>
      <top style="thin">
        <color theme="0"/>
      </top>
      <bottom style="thin">
        <color theme="4"/>
      </bottom>
      <diagonal/>
    </border>
    <border>
      <left/>
      <right/>
      <top style="thin">
        <color theme="0"/>
      </top>
      <bottom style="thin">
        <color theme="4"/>
      </bottom>
      <diagonal/>
    </border>
    <border>
      <left style="thin">
        <color theme="4"/>
      </left>
      <right/>
      <top style="thin">
        <color theme="0"/>
      </top>
      <bottom style="thin">
        <color theme="0"/>
      </bottom>
      <diagonal/>
    </border>
    <border>
      <left/>
      <right style="thin">
        <color theme="4"/>
      </right>
      <top style="thin">
        <color theme="0"/>
      </top>
      <bottom style="thin">
        <color theme="0"/>
      </bottom>
      <diagonal/>
    </border>
    <border>
      <left/>
      <right style="thin">
        <color theme="4"/>
      </right>
      <top style="thin">
        <color theme="0"/>
      </top>
      <bottom style="thin">
        <color theme="4"/>
      </bottom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horizontal="left" vertical="center" wrapText="1"/>
    </xf>
    <xf numFmtId="164" fontId="4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 wrapText="1"/>
    </xf>
    <xf numFmtId="164" fontId="5" fillId="3" borderId="0" xfId="1" applyNumberFormat="1" applyFont="1" applyFill="1" applyBorder="1" applyAlignment="1">
      <alignment horizontal="left" wrapText="1"/>
    </xf>
    <xf numFmtId="164" fontId="8" fillId="0" borderId="0" xfId="0" applyNumberFormat="1" applyFont="1"/>
    <xf numFmtId="164" fontId="5" fillId="2" borderId="4" xfId="0" applyNumberFormat="1" applyFont="1" applyFill="1" applyBorder="1" applyAlignment="1">
      <alignment vertical="center" wrapText="1"/>
    </xf>
    <xf numFmtId="164" fontId="5" fillId="2" borderId="5" xfId="0" applyNumberFormat="1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vertical="center" wrapText="1"/>
    </xf>
    <xf numFmtId="164" fontId="5" fillId="2" borderId="4" xfId="0" applyNumberFormat="1" applyFont="1" applyFill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vertical="center" wrapText="1"/>
    </xf>
    <xf numFmtId="164" fontId="4" fillId="0" borderId="0" xfId="0" applyNumberFormat="1" applyFont="1" applyAlignment="1">
      <alignment horizontal="left" vertical="center" wrapText="1"/>
    </xf>
    <xf numFmtId="164" fontId="5" fillId="2" borderId="3" xfId="0" applyNumberFormat="1" applyFont="1" applyFill="1" applyBorder="1" applyAlignment="1">
      <alignment vertical="center" wrapText="1"/>
    </xf>
    <xf numFmtId="164" fontId="9" fillId="4" borderId="6" xfId="0" applyNumberFormat="1" applyFont="1" applyFill="1" applyBorder="1" applyAlignment="1">
      <alignment horizontal="left" vertical="center" wrapText="1"/>
    </xf>
    <xf numFmtId="164" fontId="5" fillId="5" borderId="7" xfId="0" applyNumberFormat="1" applyFont="1" applyFill="1" applyBorder="1" applyAlignment="1">
      <alignment vertical="center" wrapText="1"/>
    </xf>
    <xf numFmtId="164" fontId="9" fillId="4" borderId="4" xfId="0" applyNumberFormat="1" applyFont="1" applyFill="1" applyBorder="1" applyAlignment="1">
      <alignment horizontal="left" vertical="center" wrapText="1"/>
    </xf>
    <xf numFmtId="164" fontId="5" fillId="2" borderId="8" xfId="0" applyNumberFormat="1" applyFont="1" applyFill="1" applyBorder="1" applyAlignment="1">
      <alignment vertical="center" wrapText="1"/>
    </xf>
    <xf numFmtId="164" fontId="9" fillId="4" borderId="1" xfId="0" applyNumberFormat="1" applyFont="1" applyFill="1" applyBorder="1" applyAlignment="1">
      <alignment horizontal="left" vertical="top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164" fontId="5" fillId="5" borderId="0" xfId="0" applyNumberFormat="1" applyFont="1" applyFill="1" applyAlignment="1">
      <alignment horizontal="center" vertical="center" wrapText="1"/>
    </xf>
    <xf numFmtId="164" fontId="6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vertical="center" wrapText="1"/>
    </xf>
    <xf numFmtId="0" fontId="2" fillId="6" borderId="10" xfId="0" applyFont="1" applyFill="1" applyBorder="1"/>
    <xf numFmtId="9" fontId="2" fillId="6" borderId="10" xfId="0" applyNumberFormat="1" applyFont="1" applyFill="1" applyBorder="1"/>
    <xf numFmtId="0" fontId="0" fillId="7" borderId="10" xfId="0" applyFill="1" applyBorder="1"/>
    <xf numFmtId="165" fontId="0" fillId="7" borderId="10" xfId="0" applyNumberFormat="1" applyFill="1" applyBorder="1"/>
    <xf numFmtId="0" fontId="13" fillId="7" borderId="10" xfId="0" applyFont="1" applyFill="1" applyBorder="1"/>
    <xf numFmtId="165" fontId="13" fillId="7" borderId="10" xfId="0" applyNumberFormat="1" applyFont="1" applyFill="1" applyBorder="1"/>
    <xf numFmtId="164" fontId="0" fillId="7" borderId="10" xfId="0" applyNumberFormat="1" applyFill="1" applyBorder="1"/>
    <xf numFmtId="164" fontId="13" fillId="7" borderId="10" xfId="0" applyNumberFormat="1" applyFont="1" applyFill="1" applyBorder="1"/>
    <xf numFmtId="164" fontId="0" fillId="0" borderId="0" xfId="0" applyNumberFormat="1"/>
    <xf numFmtId="0" fontId="11" fillId="0" borderId="0" xfId="0" applyFont="1"/>
    <xf numFmtId="0" fontId="0" fillId="7" borderId="0" xfId="0" applyFill="1"/>
    <xf numFmtId="0" fontId="14" fillId="7" borderId="10" xfId="0" applyFont="1" applyFill="1" applyBorder="1"/>
    <xf numFmtId="0" fontId="14" fillId="0" borderId="0" xfId="0" applyFont="1"/>
    <xf numFmtId="0" fontId="15" fillId="0" borderId="0" xfId="0" applyFont="1"/>
    <xf numFmtId="164" fontId="10" fillId="0" borderId="0" xfId="1" applyNumberFormat="1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right" vertical="center" wrapText="1"/>
    </xf>
    <xf numFmtId="164" fontId="2" fillId="4" borderId="2" xfId="0" applyNumberFormat="1" applyFont="1" applyFill="1" applyBorder="1" applyAlignment="1">
      <alignment horizontal="right" vertical="center" wrapText="1"/>
    </xf>
    <xf numFmtId="164" fontId="2" fillId="4" borderId="1" xfId="0" applyNumberFormat="1" applyFont="1" applyFill="1" applyBorder="1" applyAlignment="1">
      <alignment horizontal="left" vertical="center" wrapText="1"/>
    </xf>
    <xf numFmtId="164" fontId="2" fillId="4" borderId="3" xfId="0" applyNumberFormat="1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left" vertical="center" wrapText="1"/>
    </xf>
    <xf numFmtId="164" fontId="9" fillId="4" borderId="3" xfId="0" applyNumberFormat="1" applyFont="1" applyFill="1" applyBorder="1" applyAlignment="1">
      <alignment horizontal="left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0" fontId="11" fillId="5" borderId="0" xfId="0" applyFont="1" applyFill="1" applyAlignment="1">
      <alignment horizontal="center"/>
    </xf>
  </cellXfs>
  <cellStyles count="2">
    <cellStyle name="Įprastas" xfId="0" builtinId="0"/>
    <cellStyle name="Pavadinimas" xfId="1" builtinId="15"/>
  </cellStyles>
  <dxfs count="1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auto="1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186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>
          <bgColor theme="4" tint="0.79998168889431442"/>
        </patternFill>
      </fill>
    </dxf>
    <dxf>
      <font>
        <sz val="9"/>
        <color theme="0"/>
      </font>
      <fill>
        <patternFill>
          <bgColor theme="4"/>
        </patternFill>
      </fill>
      <border diagonalUp="0" diagonalDown="0">
        <left style="thin">
          <color theme="4"/>
        </left>
        <right style="thin">
          <color theme="4"/>
        </right>
        <top style="double">
          <color theme="0"/>
        </top>
        <bottom style="thin">
          <color theme="4"/>
        </bottom>
        <vertical/>
        <horizontal/>
      </border>
    </dxf>
    <dxf>
      <font>
        <sz val="9"/>
        <color theme="0"/>
      </font>
      <fill>
        <patternFill>
          <bgColor theme="4"/>
        </patternFill>
      </fill>
      <border diagonalUp="0" diagonalDown="0">
        <bottom style="thin">
          <color theme="0"/>
        </bottom>
      </border>
    </dxf>
    <dxf>
      <font>
        <sz val="8"/>
      </font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2" defaultPivotStyle="PivotStyleLight16">
    <tableStyle name="Table Style 1" pivot="0" count="4" xr9:uid="{0683E549-FA72-42DE-AB6A-7DEAD9ACBFBF}">
      <tableStyleElement type="wholeTable" dxfId="146"/>
      <tableStyleElement type="headerRow" dxfId="145"/>
      <tableStyleElement type="totalRow" dxfId="144"/>
      <tableStyleElement type="firstRowStripe" dxfId="14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7EF63B-328E-4963-BB3A-A2A2C2CB7FA5}" name="Housing15284154678093106119132145184158171197223249275288301327340353366379392405" displayName="Housing15284154678093106119132145184158171197223249275288301327340353366379392405" ref="A6:D18" totalsRowCount="1" headerRowDxfId="142" dataDxfId="141" totalsRowDxfId="140">
  <autoFilter ref="A6:D17" xr:uid="{B37EF63B-328E-4963-BB3A-A2A2C2CB7FA5}"/>
  <tableColumns count="4">
    <tableColumn id="1" xr3:uid="{BE220CFA-38D6-4608-9E9F-E32A4173031D}" name="Būstas" totalsRowLabel="Viso" dataDxfId="139" totalsRowDxfId="138"/>
    <tableColumn id="2" xr3:uid="{B6092DD6-198A-42FE-B489-DA95373E30FF}" name="Suplanuotos išlaidos" totalsRowFunction="sum" dataDxfId="137" totalsRowDxfId="136"/>
    <tableColumn id="3" xr3:uid="{F0AD107B-1B99-4F80-9BE6-615165C62E6D}" name="Patirtos išlaidos" totalsRowFunction="sum" dataDxfId="135" totalsRowDxfId="134"/>
    <tableColumn id="4" xr3:uid="{96E1C5F4-9EC1-441E-8417-451C23882331}" name="Skirtumas" totalsRowFunction="sum" dataDxfId="133" totalsRowDxfId="132">
      <calculatedColumnFormula>Housing15284154678093106119132145184158171197223249275288301327340353366379392405[Suplanuotos išlaidos]-Housing15284154678093106119132145184158171197223249275288301327340353366379392405[Patirtos išlaidos]</calculatedColumnFormula>
    </tableColumn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4D3525-EFAD-4FCD-A75D-C53BF34B663A}" name="Transportation16294255688194107120133146185159172198224250276289302328341354367380393406" displayName="Transportation16294255688194107120133146185159172198224250276289302328341354367380393406" ref="A20:D29" totalsRowCount="1" headerRowDxfId="131" dataDxfId="130" totalsRowDxfId="129">
  <autoFilter ref="A20:D28" xr:uid="{404D3525-EFAD-4FCD-A75D-C53BF34B663A}"/>
  <tableColumns count="4">
    <tableColumn id="1" xr3:uid="{F86D08A5-D68A-4000-95E9-906BA6CB7025}" name="Transportas" totalsRowLabel="Viso" dataDxfId="128" totalsRowDxfId="127"/>
    <tableColumn id="2" xr3:uid="{6FFA3371-5482-4C0C-80D9-05324D30D723}" name="Suplanuotos išlaidos" totalsRowFunction="sum" dataDxfId="126" totalsRowDxfId="125"/>
    <tableColumn id="3" xr3:uid="{801C8CE4-BD09-420C-A339-8E193E6B4178}" name="Išleista" totalsRowFunction="sum" dataDxfId="124" totalsRowDxfId="123"/>
    <tableColumn id="4" xr3:uid="{5F4558AD-BE63-4907-943A-1FE97B3F9A7D}" name="Skirtumas" totalsRowFunction="sum" dataDxfId="122" totalsRowDxfId="121">
      <calculatedColumnFormula>Transportation16294255688194107120133146185159172198224250276289302328341354367380393406[Suplanuotos išlaidos]-Transportation16294255688194107120133146185159172198224250276289302328341354367380393406[Išleista]</calculatedColumnFormula>
    </tableColumn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FB84015-6930-4B36-9B3A-529714A67B0C}" name="Insurance17304356698295108121134147186160173199225251277290303329342355368381394407" displayName="Insurance17304356698295108121134147186160173199225251277290303329342355368381394407" ref="A31:D37" totalsRowCount="1" headerRowDxfId="120" dataDxfId="119" totalsRowDxfId="118">
  <autoFilter ref="A31:D36" xr:uid="{0FB84015-6930-4B36-9B3A-529714A67B0C}"/>
  <tableColumns count="4">
    <tableColumn id="1" xr3:uid="{DFE5AE97-8B2B-489F-B386-B7E5B7462FD8}" name="Maistas" totalsRowLabel="Viso" dataDxfId="117" totalsRowDxfId="116"/>
    <tableColumn id="2" xr3:uid="{480031F7-3F79-4183-ABF6-C5565554F43D}" name="Suplanuotos išlaidos" totalsRowFunction="sum" dataDxfId="115" totalsRowDxfId="114"/>
    <tableColumn id="3" xr3:uid="{F0187D35-B9AD-49A3-A8AE-DC62C40DC879}" name="Išleista" totalsRowFunction="sum" dataDxfId="113" totalsRowDxfId="112"/>
    <tableColumn id="4" xr3:uid="{BA76B577-16CF-48E6-8480-B62A5210AF7E}" name="Skirtumas" totalsRowFunction="sum" dataDxfId="111" totalsRowDxfId="110">
      <calculatedColumnFormula>Insurance17304356698295108121134147186160173199225251277290303329342355368381394407[Suplanuotos išlaidos]-Insurance17304356698295108121134147186160173199225251277290303329342355368381394407[Išleista]</calculatedColumnFormula>
    </tableColumn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BB3E0EE-0249-48F4-8C31-6CC38D80D801}" name="Food18314457708396109122135148187161174200226252278291304330343356369382395408" displayName="Food18314457708396109122135148187161174200226252278291304330343356369382395408" ref="A39:D44" totalsRowCount="1" headerRowDxfId="109" dataDxfId="108" totalsRowDxfId="107">
  <autoFilter ref="A39:D43" xr:uid="{4BB3E0EE-0249-48F4-8C31-6CC38D80D801}"/>
  <tableColumns count="4">
    <tableColumn id="1" xr3:uid="{7D31E43C-2495-433B-9754-6766C416EB75}" name="Taupymas, investicijos" totalsRowLabel="Viso" dataDxfId="106" totalsRowDxfId="3"/>
    <tableColumn id="2" xr3:uid="{DFD0C8CC-EC95-4F6C-82E6-49F6036F15E1}" name="Suplanuotos išlaidos" totalsRowFunction="sum" dataDxfId="105" totalsRowDxfId="2"/>
    <tableColumn id="3" xr3:uid="{6B2AC4FF-E60A-4BBB-BEB2-E9247BDD6894}" name="Išleista" totalsRowFunction="sum" dataDxfId="104" totalsRowDxfId="1"/>
    <tableColumn id="4" xr3:uid="{7A7C8D01-D1D5-485B-9628-7AF2174042F4}" name="Skirtumas" totalsRowFunction="sum" dataDxfId="103" totalsRowDxfId="0">
      <calculatedColumnFormula>Food18314457708396109122135148187161174200226252278291304330343356369382395408[Suplanuotos išlaidos]-Food18314457708396109122135148187161174200226252278291304330343356369382395408[Išleista]</calculatedColumnFormula>
    </tableColumn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D34239-A18B-4A8B-85D1-0E73BCD5C809}" name="Children19324558718497110123136149188162175201227253279292305331344357370383396409" displayName="Children19324558718497110123136149188162175201227253279292305331344357370383396409" ref="A46:D54" totalsRowCount="1" headerRowDxfId="102" dataDxfId="101" totalsRowDxfId="100">
  <autoFilter ref="A46:D53" xr:uid="{B2D34239-A18B-4A8B-85D1-0E73BCD5C809}"/>
  <tableColumns count="4">
    <tableColumn id="1" xr3:uid="{809F0657-FB74-4202-B5C8-948420804C8E}" name="Asmeninė priežiūra" totalsRowLabel="Viso" dataDxfId="99" totalsRowDxfId="98"/>
    <tableColumn id="2" xr3:uid="{97EE14E1-57D4-447A-9AE2-397DF7A0C769}" name="Suplanuotos išlaidos" totalsRowFunction="sum" dataDxfId="97" totalsRowDxfId="96"/>
    <tableColumn id="3" xr3:uid="{0BC04019-BAA7-435D-8A0E-AC66617705E7}" name="Išleista" totalsRowFunction="sum" dataDxfId="95" totalsRowDxfId="94"/>
    <tableColumn id="4" xr3:uid="{ABD085AB-FCFD-48CE-AB9E-891DEB7370F1}" name="Skirtumas" totalsRowFunction="sum" dataDxfId="93" totalsRowDxfId="92">
      <calculatedColumnFormula>Children19324558718497110123136149188162175201227253279292305331344357370383396409[Suplanuotos išlaidos]-Children19324558718497110123136149188162175201227253279292305331344357370383396409[Išleista]</calculatedColumnFormula>
    </tableColumn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97264C5-27DC-4CCA-8E45-8FB06C1C86FC}" name="Pets20334659728598111124137150189163176202228254280293306332345358371384397410" displayName="Pets20334659728598111124137150189163176202228254280293306332345358371384397410" ref="F56:I62" totalsRowCount="1" headerRowDxfId="91" dataDxfId="90" totalsRowDxfId="89">
  <autoFilter ref="F56:I61" xr:uid="{F97264C5-27DC-4CCA-8E45-8FB06C1C86FC}"/>
  <tableColumns count="4">
    <tableColumn id="1" xr3:uid="{1EB66053-C9BB-4CE9-BB1A-FD0A43928987}" name="Šeimos išlaidos" totalsRowLabel="Viso" dataDxfId="88" totalsRowDxfId="87"/>
    <tableColumn id="2" xr3:uid="{0F7D7148-9B14-4C5D-B8EC-16F8F32F8178}" name="Suplanuotos išlaidos" totalsRowFunction="sum" dataDxfId="86" totalsRowDxfId="85"/>
    <tableColumn id="3" xr3:uid="{505ABB7C-04EA-4549-9C2B-5854CE27325B}" name="Išleista" totalsRowFunction="sum" dataDxfId="84" totalsRowDxfId="83"/>
    <tableColumn id="4" xr3:uid="{BEA1FD73-0FDF-4264-87E3-1C3D4F41C931}" name="Skirtumas" totalsRowFunction="sum" dataDxfId="82" totalsRowDxfId="81">
      <calculatedColumnFormula>Pets20334659728598111124137150189163176202228254280293306332345358371384397410[Suplanuotos išlaidos]-Pets20334659728598111124137150189163176202228254280293306332345358371384397410[Išleista]</calculatedColumnFormula>
    </tableColumn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441E8B1-0BCE-420A-B13A-FEA49CF1B553}" name="PersonalCare21344760738699112125138151190164177203229255281294307333346359372385398411" displayName="PersonalCare21344760738699112125138151190164177203229255281294307333346359372385398411" ref="F46:I54" totalsRowCount="1" headerRowDxfId="80" dataDxfId="79" totalsRowDxfId="78">
  <autoFilter ref="F46:I53" xr:uid="{6441E8B1-0BCE-420A-B13A-FEA49CF1B553}"/>
  <tableColumns count="4">
    <tableColumn id="1" xr3:uid="{07ABE241-A05C-41AC-91ED-A3E8DE6B38CA}" name="Pramogos" totalsRowLabel="Viso" dataDxfId="77" totalsRowDxfId="76"/>
    <tableColumn id="2" xr3:uid="{A4B7262E-5117-49B7-9AE7-67E2253009F1}" name="Suplanuotos išlaidos" totalsRowFunction="sum" dataDxfId="75" totalsRowDxfId="74"/>
    <tableColumn id="3" xr3:uid="{C1E985B1-3F7A-4DFD-9332-C41DFC4CF4B4}" name="Išleista" totalsRowFunction="sum" dataDxfId="73" totalsRowDxfId="72">
      <calculatedColumnFormula>10.18+1.5+49+18</calculatedColumnFormula>
    </tableColumn>
    <tableColumn id="4" xr3:uid="{E29444E1-E023-4EFA-8787-2C273E9DAD78}" name="Skirtumas" totalsRowFunction="sum" dataDxfId="71" totalsRowDxfId="70">
      <calculatedColumnFormula>PersonalCare21344760738699112125138151190164177203229255281294307333346359372385398411[Suplanuotos išlaidos]-PersonalCare21344760738699112125138151190164177203229255281294307333346359372385398411[Išleista]</calculatedColumnFormula>
    </tableColumn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8697A5B-6A7E-4F58-B890-DFBB21317E0C}" name="Entertainment223548617487100113126139152191165178204230256282295308334347360373386399412" displayName="Entertainment223548617487100113126139152191165178204230256282295308334347360373386399412" ref="F31:I37" totalsRowCount="1" headerRowDxfId="69" dataDxfId="68" totalsRowDxfId="67">
  <autoFilter ref="F31:I36" xr:uid="{58697A5B-6A7E-4F58-B890-DFBB21317E0C}"/>
  <tableColumns count="4">
    <tableColumn id="1" xr3:uid="{767489DE-BD72-4E1D-B9EE-58533BA2EE8F}" name="Kelionės" totalsRowLabel="Viso" dataDxfId="66" totalsRowDxfId="65"/>
    <tableColumn id="2" xr3:uid="{F1AD3158-3301-472A-9F61-9DBE38440E6B}" name="Suplanuotos išlaidos" totalsRowFunction="sum" dataDxfId="64" totalsRowDxfId="63"/>
    <tableColumn id="3" xr3:uid="{46E8BFC9-9801-433F-B19E-7F89077BF42F}" name="Išleista" totalsRowFunction="sum" dataDxfId="62" totalsRowDxfId="61">
      <calculatedColumnFormula>9+14</calculatedColumnFormula>
    </tableColumn>
    <tableColumn id="4" xr3:uid="{24E5A5DA-8D8C-4861-9B56-481AE2DA6CAD}" name="Skirtumas" totalsRowFunction="sum" dataDxfId="60" totalsRowDxfId="59">
      <calculatedColumnFormula>Entertainment223548617487100113126139152191165178204230256282295308334347360373386399412[Suplanuotos išlaidos]-Entertainment223548617487100113126139152191165178204230256282295308334347360373386399412[Išleista]</calculatedColumnFormula>
    </tableColumn>
  </tableColumns>
  <tableStyleInfo name="Table Style 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94F05A3-9D90-4A6E-A286-2169DDBFB0AB}" name="Loans233649627588101114127140153192166179205231257283296309335348361374387400413" displayName="Loans233649627588101114127140153192166179205231257283296309335348361374387400413" ref="F20:I29" totalsRowCount="1" headerRowDxfId="58" dataDxfId="57" totalsRowDxfId="56">
  <autoFilter ref="F20:I28" xr:uid="{794F05A3-9D90-4A6E-A286-2169DDBFB0AB}"/>
  <tableColumns count="4">
    <tableColumn id="1" xr3:uid="{86433EC7-D668-4F60-8F22-E07759E04B6B}" name="Vaikai" totalsRowLabel="Viso" dataDxfId="55" totalsRowDxfId="54"/>
    <tableColumn id="2" xr3:uid="{E254E0E6-3DD9-4A70-BF22-0B4C78670773}" name="Suplanuotos išlaidos" totalsRowFunction="sum" dataDxfId="53" totalsRowDxfId="52"/>
    <tableColumn id="3" xr3:uid="{D1EE2E21-D241-4A2D-9581-8EC4C23B71CE}" name="Išleista" totalsRowFunction="sum" dataDxfId="51" totalsRowDxfId="50"/>
    <tableColumn id="4" xr3:uid="{C04BF271-8A47-42C1-844F-076B1BE339E4}" name="Skirtumas" totalsRowFunction="sum" dataDxfId="49" totalsRowDxfId="48">
      <calculatedColumnFormula>Loans233649627588101114127140153192166179205231257283296309335348361374387400413[Suplanuotos išlaidos]-Loans233649627588101114127140153192166179205231257283296309335348361374387400413[Išleista]</calculatedColumnFormula>
    </tableColumn>
  </tableColumns>
  <tableStyleInfo name="Table Style 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A675B9F-1929-44E4-8B09-BD8D954149F0}" name="Taxes243750637689102115128141154193167180206232258284297310336349362375388401414" displayName="Taxes243750637689102115128141154193167180206232258284297310336349362375388401414" ref="F39:I44" totalsRowCount="1" headerRowDxfId="47" dataDxfId="46" totalsRowDxfId="45">
  <autoFilter ref="F39:I43" xr:uid="{5A675B9F-1929-44E4-8B09-BD8D954149F0}"/>
  <tableColumns count="4">
    <tableColumn id="1" xr3:uid="{113BDEA4-F6E8-4D41-8C0F-171CC64030CD}" name="Gyvūnai" totalsRowLabel="Viso" dataDxfId="44" totalsRowDxfId="43"/>
    <tableColumn id="2" xr3:uid="{7A118392-FBED-4D29-9F1D-FED33B33056E}" name="Suplanuotos išlaidos" totalsRowFunction="sum" dataDxfId="42" totalsRowDxfId="41"/>
    <tableColumn id="3" xr3:uid="{75E72542-A349-4CE5-BF8B-4090E2779C59}" name="Išleista" totalsRowFunction="sum" dataDxfId="40" totalsRowDxfId="39"/>
    <tableColumn id="4" xr3:uid="{E29A6A5B-E73B-4D69-AACF-1C814E5FFE70}" name="Skirtumas" totalsRowFunction="sum" dataDxfId="38" totalsRowDxfId="37">
      <calculatedColumnFormula>Taxes243750637689102115128141154193167180206232258284297310336349362375388401414[Suplanuotos išlaidos]-Taxes243750637689102115128141154193167180206232258284297310336349362375388401414[Išleista]</calculatedColumnFormula>
    </tableColumn>
  </tableColumns>
  <tableStyleInfo name="Table Style 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C113536-90F0-432F-9F58-C38CA26D48E7}" name="Savings253851647790103116129142155194168181207233259285298311337350363376389402415" displayName="Savings253851647790103116129142155194168181207233259285298311337350363376389402415" ref="A64:D69" totalsRowCount="1" headerRowDxfId="36" dataDxfId="35" totalsRowDxfId="34">
  <autoFilter ref="A64:D68" xr:uid="{5C113536-90F0-432F-9F58-C38CA26D48E7}"/>
  <tableColumns count="4">
    <tableColumn id="1" xr3:uid="{9D1F20B3-138F-4EA2-990A-1C221F1D1617}" name="Stulpelis1" totalsRowLabel="Viso" dataDxfId="33" totalsRowDxfId="32"/>
    <tableColumn id="2" xr3:uid="{85491C00-765D-4A75-B67A-EEAD8E732333}" name="Suplanuotos išlaidos" totalsRowFunction="sum" dataDxfId="31" totalsRowDxfId="30"/>
    <tableColumn id="3" xr3:uid="{81441B8C-4FDE-49C0-8FDE-B91F9A1A394C}" name="Išleista" totalsRowFunction="sum" dataDxfId="29" totalsRowDxfId="28"/>
    <tableColumn id="4" xr3:uid="{7D082B9F-8A73-445F-8A1D-48053946BD1D}" name="Skirtumas" totalsRowFunction="sum" dataDxfId="27" totalsRowDxfId="26">
      <calculatedColumnFormula>Savings253851647790103116129142155194168181207233259285298311337350363376389402415[Suplanuotos išlaidos]-Savings253851647790103116129142155194168181207233259285298311337350363376389402415[Išleista]</calculatedColumnFormula>
    </tableColumn>
  </tableColumns>
  <tableStyleInfo name="Table Style 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8445C35-0D0F-42B4-BE97-2E102EF3581A}" name="Gifts263952657891104117130143156195169182208234260286299312338351364377390403416" displayName="Gifts263952657891104117130143156195169182208234260286299312338351364377390403416" ref="F64:I69" totalsRowCount="1" headerRowDxfId="25" dataDxfId="24" totalsRowDxfId="23">
  <autoFilter ref="F64:I68" xr:uid="{E8445C35-0D0F-42B4-BE97-2E102EF3581A}"/>
  <tableColumns count="4">
    <tableColumn id="1" xr3:uid="{36C973AC-FEFA-4CDC-AE0F-0401BE027623}" name="Stulpelis1" totalsRowLabel="Viso" dataDxfId="22" totalsRowDxfId="21"/>
    <tableColumn id="2" xr3:uid="{F33DD885-E8B0-48D1-B1C4-08290911368A}" name="Suplanuotos išlaidos" totalsRowFunction="sum" dataDxfId="20" totalsRowDxfId="19"/>
    <tableColumn id="3" xr3:uid="{D54922F0-27E3-4F3C-93BE-795CA3A1A587}" name="Išleista" totalsRowFunction="sum" dataDxfId="18" totalsRowDxfId="17"/>
    <tableColumn id="4" xr3:uid="{C7B88B4A-BB04-4CDE-8773-4CFC2F969470}" name="Skirtumas" totalsRowFunction="sum" dataDxfId="16" totalsRowDxfId="15">
      <calculatedColumnFormula>Gifts263952657891104117130143156195169182208234260286299312338351364377390403416[Suplanuotos išlaidos]-Gifts263952657891104117130143156195169182208234260286299312338351364377390403416[Išleista]</calculatedColumnFormula>
    </tableColumn>
  </tableColumns>
  <tableStyleInfo name="Table Style 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899004B-DF62-4A42-93C2-EC1EA285AE87}" name="Legal274053667992105118131144157196170183209235261287300313339352365378391404417" displayName="Legal274053667992105118131144157196170183209235261287300313339352365378391404417" ref="A56:D62" totalsRowCount="1" headerRowDxfId="14" dataDxfId="13" totalsRowDxfId="12">
  <autoFilter ref="A56:D61" xr:uid="{2899004B-DF62-4A42-93C2-EC1EA285AE87}"/>
  <tableColumns count="4">
    <tableColumn id="1" xr3:uid="{B21AFA0C-5CF8-4445-B07F-A8BA1BC4A529}" name="Saviugda" totalsRowLabel="Viso" dataDxfId="11" totalsRowDxfId="10"/>
    <tableColumn id="2" xr3:uid="{FC353351-A504-47B3-B8A1-0F57A6CB8EBF}" name="Suplanuotos išlaidos" totalsRowFunction="sum" dataDxfId="9" totalsRowDxfId="8"/>
    <tableColumn id="3" xr3:uid="{C61C12F1-90E6-4BB0-B0C2-2398A71AEA06}" name="Išleista" totalsRowFunction="sum" dataDxfId="7" totalsRowDxfId="6">
      <calculatedColumnFormula>61.32+15.18</calculatedColumnFormula>
    </tableColumn>
    <tableColumn id="4" xr3:uid="{FDA4C012-8E3C-47C2-903D-3190E4581FED}" name="Skirtumas" totalsRowFunction="sum" dataDxfId="5" totalsRowDxfId="4">
      <calculatedColumnFormula>Legal274053667992105118131144157196170183209235261287300313339352365378391404417[Suplanuotos išlaidos]-Legal274053667992105118131144157196170183209235261287300313339352365378391404417[Išleista]</calculatedColumnFormula>
    </tableColumn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"/>
  <sheetViews>
    <sheetView tabSelected="1" workbookViewId="0">
      <selection activeCell="I7" sqref="I7"/>
    </sheetView>
  </sheetViews>
  <sheetFormatPr defaultColWidth="8.7109375" defaultRowHeight="12.75" x14ac:dyDescent="0.2"/>
  <cols>
    <col min="1" max="1" width="23.42578125" style="10" customWidth="1"/>
    <col min="2" max="2" width="13.140625" style="10" customWidth="1"/>
    <col min="3" max="4" width="14.7109375" style="10" customWidth="1"/>
    <col min="5" max="5" width="4" style="10" customWidth="1"/>
    <col min="6" max="6" width="19.85546875" style="10" customWidth="1"/>
    <col min="7" max="7" width="16.7109375" style="10" customWidth="1"/>
    <col min="8" max="9" width="14.7109375" style="10" customWidth="1"/>
    <col min="10" max="16384" width="8.7109375" style="10"/>
  </cols>
  <sheetData>
    <row r="1" spans="1:9" ht="30" customHeight="1" x14ac:dyDescent="0.3">
      <c r="A1" s="43" t="s">
        <v>99</v>
      </c>
      <c r="B1" s="43"/>
      <c r="C1" s="43"/>
      <c r="D1" s="43"/>
      <c r="E1" s="43"/>
      <c r="F1" s="43"/>
      <c r="G1" s="43"/>
      <c r="H1" s="9"/>
      <c r="I1" s="9"/>
    </row>
    <row r="2" spans="1:9" ht="7.5" customHeight="1" x14ac:dyDescent="0.2">
      <c r="A2" s="8"/>
      <c r="B2" s="8"/>
      <c r="C2" s="8"/>
      <c r="D2" s="8"/>
      <c r="E2" s="8"/>
      <c r="F2" s="8"/>
      <c r="G2" s="8"/>
      <c r="H2" s="8"/>
      <c r="I2" s="8"/>
    </row>
    <row r="3" spans="1:9" ht="34.15" customHeight="1" x14ac:dyDescent="0.2">
      <c r="A3" s="44" t="s">
        <v>0</v>
      </c>
      <c r="B3" s="45"/>
      <c r="C3" s="24" t="s">
        <v>1</v>
      </c>
      <c r="D3" s="25" t="s">
        <v>2</v>
      </c>
      <c r="E3" s="4"/>
      <c r="F3" s="46" t="s">
        <v>3</v>
      </c>
      <c r="G3" s="47"/>
      <c r="H3" s="5"/>
      <c r="I3" s="5"/>
    </row>
    <row r="4" spans="1:9" ht="14.1" customHeight="1" x14ac:dyDescent="0.2">
      <c r="A4" s="11"/>
      <c r="B4" s="12">
        <f>Housing15284154678093106119132145184158171197223249275288301327340353366379392405[[#Totals],[Suplanuotos išlaidos]]+Transportation16294255688194107120133146185159172198224250276289302328341354367380393406[[#Totals],[Suplanuotos išlaidos]]+Insurance17304356698295108121134147186160173199225251277290303329342355368381394407[[#Totals],[Suplanuotos išlaidos]]+Food18314457708396109122135148187161174200226252278291304330343356369382395408[[#Totals],[Suplanuotos išlaidos]]+Children19324558718497110123136149188162175201227253279292305331344357370383396409[[#Totals],[Suplanuotos išlaidos]]+Legal274053667992105118131144157196170183209235261287300313339352365378391404417[[#Totals],[Suplanuotos išlaidos]]+Savings253851647790103116129142155194168181207233259285298311337350363376389402415[[#Totals],[Suplanuotos išlaidos]]+Loans233649627588101114127140153192166179205231257283296309335348361374387400413[[#Totals],[Suplanuotos išlaidos]]+Entertainment223548617487100113126139152191165178204230256282295308334347360373386399412[[#Totals],[Suplanuotos išlaidos]]+Taxes243750637689102115128141154193167180206232258284297310336349362375388401414[[#Totals],[Suplanuotos išlaidos]]+PersonalCare21344760738699112125138151190164177203229255281294307333346359372385398411[[#Totals],[Suplanuotos išlaidos]]+Pets20334659728598111124137150189163176202228254280293306332345358371384397410[[#Totals],[Suplanuotos išlaidos]]+Gifts263952657891104117130143156195169182208234260286299312338351364377390403416[[#Totals],[Suplanuotos išlaidos]]</f>
        <v>1490</v>
      </c>
      <c r="C4" s="12">
        <f>Housing15284154678093106119132145184158171197223249275288301327340353366379392405[[#Totals],[Patirtos išlaidos]]+Transportation16294255688194107120133146185159172198224250276289302328341354367380393406[[#Totals],[Išleista]]+Insurance17304356698295108121134147186160173199225251277290303329342355368381394407[[#Totals],[Išleista]]+Food18314457708396109122135148187161174200226252278291304330343356369382395408[[#Totals],[Išleista]]+Children19324558718497110123136149188162175201227253279292305331344357370383396409[[#Totals],[Išleista]]+Legal274053667992105118131144157196170183209235261287300313339352365378391404417[[#Totals],[Išleista]]+Savings253851647790103116129142155194168181207233259285298311337350363376389402415[[#Totals],[Išleista]]+Loans233649627588101114127140153192166179205231257283296309335348361374387400413[[#Totals],[Išleista]]+Entertainment223548617487100113126139152191165178204230256282295308334347360373386399412[[#Totals],[Išleista]]+Taxes243750637689102115128141154193167180206232258284297310336349362375388401414[[#Totals],[Išleista]]+PersonalCare21344760738699112125138151190164177203229255281294307333346359372385398411[[#Totals],[Išleista]]+Pets20334659728598111124137150189163176202228254280293306332345358371384397410[[#Totals],[Išleista]]+Gifts263952657891104117130143156195169182208234260286299312338351364377390403416[[#Totals],[Išleista]]</f>
        <v>1229.94</v>
      </c>
      <c r="D4" s="12">
        <f>Housing15284154678093106119132145184158171197223249275288301327340353366379392405[[#Totals],[Skirtumas]]+Transportation16294255688194107120133146185159172198224250276289302328341354367380393406[[#Totals],[Skirtumas]]+Insurance17304356698295108121134147186160173199225251277290303329342355368381394407[[#Totals],[Skirtumas]]+Food18314457708396109122135148187161174200226252278291304330343356369382395408[[#Totals],[Skirtumas]]+Children19324558718497110123136149188162175201227253279292305331344357370383396409[[#Totals],[Skirtumas]]+Legal274053667992105118131144157196170183209235261287300313339352365378391404417[[#Totals],[Skirtumas]]+Savings253851647790103116129142155194168181207233259285298311337350363376389402415[[#Totals],[Skirtumas]]+Loans233649627588101114127140153192166179205231257283296309335348361374387400413[[#Totals],[Skirtumas]]+Entertainment223548617487100113126139152191165178204230256282295308334347360373386399412[[#Totals],[Skirtumas]]+Taxes243750637689102115128141154193167180206232258284297310336349362375388401414[[#Totals],[Skirtumas]]+PersonalCare21344760738699112125138151190164177203229255281294307333346359372385398411[[#Totals],[Skirtumas]]+Pets20334659728598111124137150189163176202228254280293306332345358371384397410[[#Totals],[Skirtumas]]+Gifts263952657891104117130143156195169182208234260286299312338351364377390403416[[#Totals],[Skirtumas]]</f>
        <v>260.06</v>
      </c>
      <c r="E4" s="5"/>
      <c r="F4" s="13" t="s">
        <v>45</v>
      </c>
      <c r="G4" s="14">
        <v>1500</v>
      </c>
      <c r="H4" s="5"/>
      <c r="I4" s="5"/>
    </row>
    <row r="5" spans="1:9" ht="14.1" customHeight="1" x14ac:dyDescent="0.2">
      <c r="A5" s="5"/>
      <c r="B5" s="26" t="s">
        <v>67</v>
      </c>
      <c r="C5" s="5"/>
      <c r="D5" s="5"/>
      <c r="E5" s="5"/>
      <c r="F5" s="13" t="s">
        <v>8</v>
      </c>
      <c r="G5" s="14">
        <v>300</v>
      </c>
      <c r="H5" s="5"/>
      <c r="I5" s="5"/>
    </row>
    <row r="6" spans="1:9" ht="27" customHeight="1" x14ac:dyDescent="0.2">
      <c r="A6" s="6" t="s">
        <v>4</v>
      </c>
      <c r="B6" s="1" t="s">
        <v>5</v>
      </c>
      <c r="C6" s="1" t="s">
        <v>6</v>
      </c>
      <c r="D6" s="1" t="s">
        <v>7</v>
      </c>
      <c r="E6" s="5"/>
      <c r="F6" s="13" t="s">
        <v>8</v>
      </c>
      <c r="G6" s="14">
        <v>0</v>
      </c>
      <c r="H6" s="5"/>
      <c r="I6" s="5"/>
    </row>
    <row r="7" spans="1:9" ht="21" customHeight="1" x14ac:dyDescent="0.2">
      <c r="A7" s="5" t="s">
        <v>9</v>
      </c>
      <c r="B7" s="5">
        <v>550</v>
      </c>
      <c r="C7" s="5">
        <v>550</v>
      </c>
      <c r="D7" s="5">
        <f>Housing15284154678093106119132145184158171197223249275288301327340353366379392405[Suplanuotos išlaidos]-Housing15284154678093106119132145184158171197223249275288301327340353366379392405[Patirtos išlaidos]</f>
        <v>0</v>
      </c>
      <c r="E7" s="5"/>
      <c r="F7" s="15" t="s">
        <v>10</v>
      </c>
      <c r="G7" s="16">
        <f>SUM(G4:G6)</f>
        <v>1800</v>
      </c>
      <c r="H7" s="5"/>
      <c r="I7" s="5"/>
    </row>
    <row r="8" spans="1:9" ht="24" customHeight="1" x14ac:dyDescent="0.2">
      <c r="A8" s="5" t="s">
        <v>11</v>
      </c>
      <c r="B8" s="5">
        <v>15</v>
      </c>
      <c r="C8" s="5">
        <v>15</v>
      </c>
      <c r="D8" s="5">
        <f>Housing15284154678093106119132145184158171197223249275288301327340353366379392405[Suplanuotos išlaidos]-Housing15284154678093106119132145184158171197223249275288301327340353366379392405[Patirtos išlaidos]</f>
        <v>0</v>
      </c>
      <c r="E8" s="5"/>
      <c r="F8" s="17"/>
      <c r="G8" s="5"/>
      <c r="H8" s="8"/>
      <c r="I8" s="8"/>
    </row>
    <row r="9" spans="1:9" ht="17.649999999999999" customHeight="1" x14ac:dyDescent="0.2">
      <c r="A9" s="5" t="s">
        <v>12</v>
      </c>
      <c r="B9" s="5">
        <v>50</v>
      </c>
      <c r="C9" s="5">
        <v>50</v>
      </c>
      <c r="D9" s="5">
        <f>Housing15284154678093106119132145184158171197223249275288301327340353366379392405[Suplanuotos išlaidos]-Housing15284154678093106119132145184158171197223249275288301327340353366379392405[Patirtos išlaidos]</f>
        <v>0</v>
      </c>
      <c r="E9" s="5"/>
      <c r="F9" s="48" t="s">
        <v>13</v>
      </c>
      <c r="G9" s="49"/>
      <c r="H9" s="5"/>
      <c r="I9" s="5"/>
    </row>
    <row r="10" spans="1:9" ht="14.1" customHeight="1" x14ac:dyDescent="0.2">
      <c r="A10" s="5" t="s">
        <v>14</v>
      </c>
      <c r="B10" s="5">
        <v>0</v>
      </c>
      <c r="C10" s="5">
        <v>0</v>
      </c>
      <c r="D10" s="5">
        <f>Housing15284154678093106119132145184158171197223249275288301327340353366379392405[Suplanuotos išlaidos]-Housing15284154678093106119132145184158171197223249275288301327340353366379392405[Patirtos išlaidos]</f>
        <v>0</v>
      </c>
      <c r="E10" s="5"/>
      <c r="F10" s="13" t="s">
        <v>45</v>
      </c>
      <c r="G10" s="14">
        <v>1500</v>
      </c>
      <c r="H10" s="50"/>
      <c r="I10" s="51"/>
    </row>
    <row r="11" spans="1:9" ht="14.1" customHeight="1" x14ac:dyDescent="0.2">
      <c r="A11" s="5" t="s">
        <v>46</v>
      </c>
      <c r="B11" s="5">
        <v>0</v>
      </c>
      <c r="C11" s="5">
        <v>0</v>
      </c>
      <c r="D11" s="5">
        <f>Housing15284154678093106119132145184158171197223249275288301327340353366379392405[Suplanuotos išlaidos]-Housing15284154678093106119132145184158171197223249275288301327340353366379392405[Patirtos išlaidos]</f>
        <v>0</v>
      </c>
      <c r="E11" s="5"/>
      <c r="F11" s="13" t="s">
        <v>8</v>
      </c>
      <c r="G11" s="14">
        <v>300</v>
      </c>
      <c r="H11" s="5"/>
      <c r="I11" s="5"/>
    </row>
    <row r="12" spans="1:9" ht="22.9" customHeight="1" x14ac:dyDescent="0.2">
      <c r="A12" s="5" t="s">
        <v>47</v>
      </c>
      <c r="B12" s="5">
        <v>0</v>
      </c>
      <c r="C12" s="5">
        <v>0</v>
      </c>
      <c r="D12" s="5">
        <f>Housing15284154678093106119132145184158171197223249275288301327340353366379392405[Suplanuotos išlaidos]-Housing15284154678093106119132145184158171197223249275288301327340353366379392405[Patirtos išlaidos]</f>
        <v>0</v>
      </c>
      <c r="E12" s="5"/>
      <c r="F12" s="13" t="s">
        <v>8</v>
      </c>
      <c r="G12" s="14">
        <v>200</v>
      </c>
      <c r="H12" s="5"/>
      <c r="I12" s="5"/>
    </row>
    <row r="13" spans="1:9" ht="14.1" customHeight="1" x14ac:dyDescent="0.2">
      <c r="A13" s="5"/>
      <c r="B13" s="5">
        <v>0</v>
      </c>
      <c r="C13" s="5">
        <v>0</v>
      </c>
      <c r="D13" s="5">
        <f>Housing15284154678093106119132145184158171197223249275288301327340353366379392405[Suplanuotos išlaidos]-Housing15284154678093106119132145184158171197223249275288301327340353366379392405[Patirtos išlaidos]</f>
        <v>0</v>
      </c>
      <c r="E13" s="5"/>
      <c r="F13" s="15" t="s">
        <v>10</v>
      </c>
      <c r="G13" s="16">
        <f>SUM(G10:G12)</f>
        <v>2000</v>
      </c>
      <c r="H13" s="5"/>
      <c r="I13" s="5"/>
    </row>
    <row r="14" spans="1:9" ht="21" customHeight="1" x14ac:dyDescent="0.2">
      <c r="A14" s="5"/>
      <c r="B14" s="5">
        <v>0</v>
      </c>
      <c r="C14" s="5">
        <v>0</v>
      </c>
      <c r="D14" s="5">
        <f>Housing15284154678093106119132145184158171197223249275288301327340353366379392405[Suplanuotos išlaidos]-Housing15284154678093106119132145184158171197223249275288301327340353366379392405[Patirtos išlaidos]</f>
        <v>0</v>
      </c>
      <c r="E14" s="5"/>
      <c r="F14" s="5"/>
      <c r="G14" s="5"/>
      <c r="H14" s="5"/>
      <c r="I14" s="5"/>
    </row>
    <row r="15" spans="1:9" ht="20.65" customHeight="1" x14ac:dyDescent="0.2">
      <c r="A15" s="5"/>
      <c r="B15" s="5">
        <v>0</v>
      </c>
      <c r="C15" s="5">
        <v>0</v>
      </c>
      <c r="D15" s="5">
        <f>Housing15284154678093106119132145184158171197223249275288301327340353366379392405[Suplanuotos išlaidos]-Housing15284154678093106119132145184158171197223249275288301327340353366379392405[Patirtos išlaidos]</f>
        <v>0</v>
      </c>
      <c r="E15" s="5"/>
      <c r="F15" s="23" t="s">
        <v>15</v>
      </c>
      <c r="G15" s="18">
        <f>SUM(G7-B4)</f>
        <v>310</v>
      </c>
      <c r="H15" s="5"/>
      <c r="I15" s="5"/>
    </row>
    <row r="16" spans="1:9" ht="14.1" customHeight="1" x14ac:dyDescent="0.2">
      <c r="A16" s="27"/>
      <c r="B16" s="27"/>
      <c r="C16" s="27"/>
      <c r="D16" s="5">
        <f>Housing15284154678093106119132145184158171197223249275288301327340353366379392405[Suplanuotos išlaidos]-Housing15284154678093106119132145184158171197223249275288301327340353366379392405[Patirtos išlaidos]</f>
        <v>0</v>
      </c>
      <c r="E16" s="5"/>
      <c r="F16" s="19" t="s">
        <v>16</v>
      </c>
      <c r="G16" s="20">
        <f>SUM(G13-C4)</f>
        <v>770.06</v>
      </c>
      <c r="H16" s="5"/>
      <c r="I16" s="5"/>
    </row>
    <row r="17" spans="1:9" ht="14.1" customHeight="1" x14ac:dyDescent="0.2">
      <c r="A17" s="28"/>
      <c r="B17" s="27"/>
      <c r="C17" s="27"/>
      <c r="D17" s="5">
        <f>Housing15284154678093106119132145184158171197223249275288301327340353366379392405[Suplanuotos išlaidos]-Housing15284154678093106119132145184158171197223249275288301327340353366379392405[Patirtos išlaidos]</f>
        <v>0</v>
      </c>
      <c r="E17" s="5"/>
      <c r="F17" s="21" t="s">
        <v>7</v>
      </c>
      <c r="G17" s="22">
        <f>SUM(G16-G15)</f>
        <v>460.05999999999995</v>
      </c>
      <c r="H17" s="5"/>
      <c r="I17" s="5"/>
    </row>
    <row r="18" spans="1:9" ht="14.1" customHeight="1" x14ac:dyDescent="0.2">
      <c r="A18" s="8" t="s">
        <v>17</v>
      </c>
      <c r="B18" s="8">
        <f>SUBTOTAL(109,Housing15284154678093106119132145184158171197223249275288301327340353366379392405[Suplanuotos išlaidos])</f>
        <v>615</v>
      </c>
      <c r="C18" s="8">
        <f>SUBTOTAL(109,Housing15284154678093106119132145184158171197223249275288301327340353366379392405[Patirtos išlaidos])</f>
        <v>615</v>
      </c>
      <c r="D18" s="8">
        <f>SUBTOTAL(109,Housing15284154678093106119132145184158171197223249275288301327340353366379392405[Skirtumas])</f>
        <v>0</v>
      </c>
      <c r="E18" s="5"/>
      <c r="F18" s="5"/>
      <c r="G18" s="5"/>
      <c r="H18" s="5"/>
      <c r="I18" s="5"/>
    </row>
    <row r="19" spans="1:9" ht="14.1" customHeight="1" x14ac:dyDescent="0.2">
      <c r="A19" s="52"/>
      <c r="B19" s="52"/>
      <c r="C19" s="52"/>
      <c r="D19" s="52"/>
      <c r="E19" s="5"/>
      <c r="F19" s="8"/>
      <c r="G19" s="8"/>
      <c r="H19" s="8"/>
      <c r="I19" s="8"/>
    </row>
    <row r="20" spans="1:9" ht="25.5" customHeight="1" x14ac:dyDescent="0.2">
      <c r="A20" s="2" t="s">
        <v>18</v>
      </c>
      <c r="B20" s="1" t="s">
        <v>5</v>
      </c>
      <c r="C20" s="1" t="s">
        <v>19</v>
      </c>
      <c r="D20" s="1" t="s">
        <v>7</v>
      </c>
      <c r="E20" s="5"/>
      <c r="F20" s="3" t="s">
        <v>33</v>
      </c>
      <c r="G20" s="1" t="s">
        <v>5</v>
      </c>
      <c r="H20" s="1" t="s">
        <v>19</v>
      </c>
      <c r="I20" s="1" t="s">
        <v>7</v>
      </c>
    </row>
    <row r="21" spans="1:9" ht="27" customHeight="1" x14ac:dyDescent="0.2">
      <c r="A21" s="5" t="s">
        <v>20</v>
      </c>
      <c r="B21" s="5">
        <v>0</v>
      </c>
      <c r="C21" s="5">
        <v>0</v>
      </c>
      <c r="D21" s="5">
        <f>Transportation16294255688194107120133146185159172198224250276289302328341354367380393406[Suplanuotos išlaidos]-Transportation16294255688194107120133146185159172198224250276289302328341354367380393406[Išleista]</f>
        <v>0</v>
      </c>
      <c r="E21" s="5"/>
      <c r="F21" s="5" t="s">
        <v>50</v>
      </c>
      <c r="G21" s="5">
        <v>0</v>
      </c>
      <c r="H21" s="5">
        <v>0</v>
      </c>
      <c r="I21" s="5">
        <f>Loans233649627588101114127140153192166179205231257283296309335348361374387400413[Suplanuotos išlaidos]-Loans233649627588101114127140153192166179205231257283296309335348361374387400413[Išleista]</f>
        <v>0</v>
      </c>
    </row>
    <row r="22" spans="1:9" ht="14.1" customHeight="1" x14ac:dyDescent="0.2">
      <c r="A22" s="5" t="s">
        <v>21</v>
      </c>
      <c r="B22" s="5">
        <v>0</v>
      </c>
      <c r="C22" s="5">
        <v>0</v>
      </c>
      <c r="D22" s="5">
        <f>Transportation16294255688194107120133146185159172198224250276289302328341354367380393406[Suplanuotos išlaidos]-Transportation16294255688194107120133146185159172198224250276289302328341354367380393406[Išleista]</f>
        <v>0</v>
      </c>
      <c r="E22" s="5"/>
      <c r="F22" s="5" t="s">
        <v>34</v>
      </c>
      <c r="G22" s="5">
        <v>0</v>
      </c>
      <c r="H22" s="5">
        <v>0</v>
      </c>
      <c r="I22" s="5">
        <f>Loans233649627588101114127140153192166179205231257283296309335348361374387400413[Suplanuotos išlaidos]-Loans233649627588101114127140153192166179205231257283296309335348361374387400413[Išleista]</f>
        <v>0</v>
      </c>
    </row>
    <row r="23" spans="1:9" ht="21.6" customHeight="1" x14ac:dyDescent="0.2">
      <c r="A23" s="5" t="s">
        <v>22</v>
      </c>
      <c r="B23" s="5">
        <v>0</v>
      </c>
      <c r="C23" s="5">
        <v>0</v>
      </c>
      <c r="D23" s="5">
        <f>Transportation16294255688194107120133146185159172198224250276289302328341354367380393406[Suplanuotos išlaidos]-Transportation16294255688194107120133146185159172198224250276289302328341354367380393406[Išleista]</f>
        <v>0</v>
      </c>
      <c r="E23" s="5"/>
      <c r="F23" s="5" t="s">
        <v>38</v>
      </c>
      <c r="G23" s="5">
        <v>0</v>
      </c>
      <c r="H23" s="5">
        <v>0</v>
      </c>
      <c r="I23" s="5">
        <f>Loans233649627588101114127140153192166179205231257283296309335348361374387400413[Suplanuotos išlaidos]-Loans233649627588101114127140153192166179205231257283296309335348361374387400413[Išleista]</f>
        <v>0</v>
      </c>
    </row>
    <row r="24" spans="1:9" ht="18" customHeight="1" x14ac:dyDescent="0.2">
      <c r="A24" s="5" t="s">
        <v>14</v>
      </c>
      <c r="B24" s="5">
        <v>0</v>
      </c>
      <c r="C24" s="5">
        <v>0</v>
      </c>
      <c r="D24" s="5">
        <f>Transportation16294255688194107120133146185159172198224250276289302328341354367380393406[Suplanuotos išlaidos]-Transportation16294255688194107120133146185159172198224250276289302328341354367380393406[Išleista]</f>
        <v>0</v>
      </c>
      <c r="E24" s="5"/>
      <c r="F24" s="5" t="s">
        <v>35</v>
      </c>
      <c r="G24" s="5">
        <v>0</v>
      </c>
      <c r="H24" s="5">
        <v>0</v>
      </c>
      <c r="I24" s="5">
        <f>Loans233649627588101114127140153192166179205231257283296309335348361374387400413[Suplanuotos išlaidos]-Loans233649627588101114127140153192166179205231257283296309335348361374387400413[Išleista]</f>
        <v>0</v>
      </c>
    </row>
    <row r="25" spans="1:9" ht="24" customHeight="1" x14ac:dyDescent="0.2">
      <c r="A25" s="5" t="s">
        <v>23</v>
      </c>
      <c r="B25" s="5">
        <v>40</v>
      </c>
      <c r="C25" s="5">
        <v>84.94</v>
      </c>
      <c r="D25" s="5">
        <f>Transportation16294255688194107120133146185159172198224250276289302328341354367380393406[Suplanuotos išlaidos]-Transportation16294255688194107120133146185159172198224250276289302328341354367380393406[Išleista]</f>
        <v>-44.94</v>
      </c>
      <c r="E25" s="5"/>
      <c r="F25" s="5" t="s">
        <v>44</v>
      </c>
      <c r="G25" s="5">
        <v>0</v>
      </c>
      <c r="H25" s="5">
        <v>0</v>
      </c>
      <c r="I25" s="5">
        <f>Loans233649627588101114127140153192166179205231257283296309335348361374387400413[Suplanuotos išlaidos]-Loans233649627588101114127140153192166179205231257283296309335348361374387400413[Išleista]</f>
        <v>0</v>
      </c>
    </row>
    <row r="26" spans="1:9" ht="14.1" customHeight="1" x14ac:dyDescent="0.2">
      <c r="A26" s="5" t="s">
        <v>24</v>
      </c>
      <c r="B26" s="5">
        <v>0</v>
      </c>
      <c r="C26" s="5">
        <v>0</v>
      </c>
      <c r="D26" s="5">
        <f>Transportation16294255688194107120133146185159172198224250276289302328341354367380393406[Suplanuotos išlaidos]-Transportation16294255688194107120133146185159172198224250276289302328341354367380393406[Išleista]</f>
        <v>0</v>
      </c>
      <c r="E26" s="5"/>
      <c r="F26" s="5" t="s">
        <v>51</v>
      </c>
      <c r="G26" s="5">
        <v>0</v>
      </c>
      <c r="H26" s="5">
        <v>0</v>
      </c>
      <c r="I26" s="5">
        <f>Loans233649627588101114127140153192166179205231257283296309335348361374387400413[Suplanuotos išlaidos]-Loans233649627588101114127140153192166179205231257283296309335348361374387400413[Išleista]</f>
        <v>0</v>
      </c>
    </row>
    <row r="27" spans="1:9" ht="14.1" customHeight="1" x14ac:dyDescent="0.2">
      <c r="A27" s="5" t="s">
        <v>25</v>
      </c>
      <c r="B27" s="5">
        <v>0</v>
      </c>
      <c r="C27" s="5">
        <v>0</v>
      </c>
      <c r="D27" s="5">
        <f>Transportation16294255688194107120133146185159172198224250276289302328341354367380393406[Suplanuotos išlaidos]-Transportation16294255688194107120133146185159172198224250276289302328341354367380393406[Išleista]</f>
        <v>0</v>
      </c>
      <c r="E27" s="5"/>
      <c r="F27" s="5"/>
      <c r="G27" s="5">
        <v>0</v>
      </c>
      <c r="H27" s="5">
        <v>0</v>
      </c>
      <c r="I27" s="5">
        <f>Loans233649627588101114127140153192166179205231257283296309335348361374387400413[Suplanuotos išlaidos]-Loans233649627588101114127140153192166179205231257283296309335348361374387400413[Išleista]</f>
        <v>0</v>
      </c>
    </row>
    <row r="28" spans="1:9" ht="14.1" customHeight="1" x14ac:dyDescent="0.2">
      <c r="A28" s="5" t="s">
        <v>26</v>
      </c>
      <c r="B28" s="5">
        <v>0</v>
      </c>
      <c r="C28" s="5">
        <v>0</v>
      </c>
      <c r="D28" s="5">
        <f>Transportation16294255688194107120133146185159172198224250276289302328341354367380393406[Suplanuotos išlaidos]-Transportation16294255688194107120133146185159172198224250276289302328341354367380393406[Išleista]</f>
        <v>0</v>
      </c>
      <c r="E28" s="5"/>
      <c r="F28" s="5"/>
      <c r="G28" s="5">
        <v>0</v>
      </c>
      <c r="H28" s="5">
        <v>0</v>
      </c>
      <c r="I28" s="5">
        <f>Loans233649627588101114127140153192166179205231257283296309335348361374387400413[Suplanuotos išlaidos]-Loans233649627588101114127140153192166179205231257283296309335348361374387400413[Išleista]</f>
        <v>0</v>
      </c>
    </row>
    <row r="29" spans="1:9" ht="24" customHeight="1" x14ac:dyDescent="0.2">
      <c r="A29" s="8" t="s">
        <v>17</v>
      </c>
      <c r="B29" s="8">
        <f>SUBTOTAL(109,Transportation16294255688194107120133146185159172198224250276289302328341354367380393406[Suplanuotos išlaidos])</f>
        <v>40</v>
      </c>
      <c r="C29" s="8">
        <f>SUBTOTAL(109,Transportation16294255688194107120133146185159172198224250276289302328341354367380393406[Išleista])</f>
        <v>84.94</v>
      </c>
      <c r="D29" s="8">
        <f>SUBTOTAL(109,Transportation16294255688194107120133146185159172198224250276289302328341354367380393406[Skirtumas])</f>
        <v>-44.94</v>
      </c>
      <c r="E29" s="5"/>
      <c r="F29" s="8" t="s">
        <v>17</v>
      </c>
      <c r="G29" s="8">
        <f>SUBTOTAL(109,Loans233649627588101114127140153192166179205231257283296309335348361374387400413[Suplanuotos išlaidos])</f>
        <v>0</v>
      </c>
      <c r="H29" s="8">
        <f>SUBTOTAL(109,Loans233649627588101114127140153192166179205231257283296309335348361374387400413[Išleista])</f>
        <v>0</v>
      </c>
      <c r="I29" s="8">
        <f>SUBTOTAL(109,Loans233649627588101114127140153192166179205231257283296309335348361374387400413[Skirtumas])</f>
        <v>0</v>
      </c>
    </row>
    <row r="30" spans="1:9" ht="14.1" customHeight="1" x14ac:dyDescent="0.2">
      <c r="A30" s="52"/>
      <c r="B30" s="52"/>
      <c r="C30" s="52"/>
      <c r="D30" s="52"/>
      <c r="E30" s="5"/>
      <c r="F30" s="54"/>
      <c r="G30" s="54"/>
      <c r="H30" s="54"/>
      <c r="I30" s="54"/>
    </row>
    <row r="31" spans="1:9" ht="24" customHeight="1" x14ac:dyDescent="0.2">
      <c r="A31" s="6" t="s">
        <v>30</v>
      </c>
      <c r="B31" s="1" t="s">
        <v>5</v>
      </c>
      <c r="C31" s="1" t="s">
        <v>19</v>
      </c>
      <c r="D31" s="1" t="s">
        <v>7</v>
      </c>
      <c r="E31" s="5"/>
      <c r="F31" s="3" t="s">
        <v>68</v>
      </c>
      <c r="G31" s="1" t="s">
        <v>5</v>
      </c>
      <c r="H31" s="1" t="s">
        <v>19</v>
      </c>
      <c r="I31" s="1" t="s">
        <v>7</v>
      </c>
    </row>
    <row r="32" spans="1:9" ht="14.1" customHeight="1" x14ac:dyDescent="0.2">
      <c r="A32" s="5" t="s">
        <v>31</v>
      </c>
      <c r="B32" s="5">
        <v>150</v>
      </c>
      <c r="C32" s="5">
        <v>200</v>
      </c>
      <c r="D32" s="5">
        <f>Insurance17304356698295108121134147186160173199225251277290303329342355368381394407[Suplanuotos išlaidos]-Insurance17304356698295108121134147186160173199225251277290303329342355368381394407[Išleista]</f>
        <v>-50</v>
      </c>
      <c r="E32" s="5"/>
      <c r="F32" s="5" t="s">
        <v>32</v>
      </c>
      <c r="G32" s="5">
        <v>0</v>
      </c>
      <c r="H32" s="5">
        <v>0</v>
      </c>
      <c r="I32" s="5">
        <f>Entertainment223548617487100113126139152191165178204230256282295308334347360373386399412[Suplanuotos išlaidos]-Entertainment223548617487100113126139152191165178204230256282295308334347360373386399412[Išleista]</f>
        <v>0</v>
      </c>
    </row>
    <row r="33" spans="1:9" ht="14.1" customHeight="1" x14ac:dyDescent="0.2">
      <c r="A33" s="5" t="s">
        <v>49</v>
      </c>
      <c r="B33" s="5">
        <v>20</v>
      </c>
      <c r="C33" s="5">
        <v>50</v>
      </c>
      <c r="D33" s="5">
        <f>Insurance17304356698295108121134147186160173199225251277290303329342355368381394407[Suplanuotos išlaidos]-Insurance17304356698295108121134147186160173199225251277290303329342355368381394407[Išleista]</f>
        <v>-30</v>
      </c>
      <c r="E33" s="5"/>
      <c r="F33" s="5" t="s">
        <v>55</v>
      </c>
      <c r="G33" s="5">
        <v>0</v>
      </c>
      <c r="H33" s="5">
        <v>0</v>
      </c>
      <c r="I33" s="5">
        <f>Entertainment223548617487100113126139152191165178204230256282295308334347360373386399412[Suplanuotos išlaidos]-Entertainment223548617487100113126139152191165178204230256282295308334347360373386399412[Išleista]</f>
        <v>0</v>
      </c>
    </row>
    <row r="34" spans="1:9" ht="14.1" customHeight="1" x14ac:dyDescent="0.2">
      <c r="A34" s="5"/>
      <c r="B34" s="5">
        <v>0</v>
      </c>
      <c r="C34" s="5">
        <v>0</v>
      </c>
      <c r="D34" s="5">
        <f>Insurance17304356698295108121134147186160173199225251277290303329342355368381394407[Suplanuotos išlaidos]-Insurance17304356698295108121134147186160173199225251277290303329342355368381394407[Išleista]</f>
        <v>0</v>
      </c>
      <c r="E34" s="5"/>
      <c r="F34" s="5" t="s">
        <v>56</v>
      </c>
      <c r="G34" s="5">
        <v>0</v>
      </c>
      <c r="H34" s="5">
        <v>0</v>
      </c>
      <c r="I34" s="5">
        <f>Entertainment223548617487100113126139152191165178204230256282295308334347360373386399412[Suplanuotos išlaidos]-Entertainment223548617487100113126139152191165178204230256282295308334347360373386399412[Išleista]</f>
        <v>0</v>
      </c>
    </row>
    <row r="35" spans="1:9" ht="14.1" customHeight="1" x14ac:dyDescent="0.2">
      <c r="A35" s="5"/>
      <c r="B35" s="5">
        <v>0</v>
      </c>
      <c r="C35" s="5">
        <v>0</v>
      </c>
      <c r="D35" s="5">
        <f>Insurance17304356698295108121134147186160173199225251277290303329342355368381394407[Suplanuotos išlaidos]-Insurance17304356698295108121134147186160173199225251277290303329342355368381394407[Išleista]</f>
        <v>0</v>
      </c>
      <c r="E35" s="5"/>
      <c r="F35" s="5" t="s">
        <v>57</v>
      </c>
      <c r="G35" s="5">
        <v>0</v>
      </c>
      <c r="H35" s="5">
        <v>0</v>
      </c>
      <c r="I35" s="5">
        <f>Entertainment223548617487100113126139152191165178204230256282295308334347360373386399412[Suplanuotos išlaidos]-Entertainment223548617487100113126139152191165178204230256282295308334347360373386399412[Išleista]</f>
        <v>0</v>
      </c>
    </row>
    <row r="36" spans="1:9" ht="14.1" customHeight="1" x14ac:dyDescent="0.2">
      <c r="A36" s="5"/>
      <c r="B36" s="5">
        <v>0</v>
      </c>
      <c r="C36" s="5">
        <v>0</v>
      </c>
      <c r="D36" s="5">
        <f>Insurance17304356698295108121134147186160173199225251277290303329342355368381394407[Suplanuotos išlaidos]-Insurance17304356698295108121134147186160173199225251277290303329342355368381394407[Išleista]</f>
        <v>0</v>
      </c>
      <c r="E36" s="5"/>
      <c r="F36" s="5" t="s">
        <v>30</v>
      </c>
      <c r="G36" s="5">
        <v>0</v>
      </c>
      <c r="H36" s="5">
        <v>0</v>
      </c>
      <c r="I36" s="5">
        <f>Entertainment223548617487100113126139152191165178204230256282295308334347360373386399412[Suplanuotos išlaidos]-Entertainment223548617487100113126139152191165178204230256282295308334347360373386399412[Išleista]</f>
        <v>0</v>
      </c>
    </row>
    <row r="37" spans="1:9" ht="14.1" customHeight="1" x14ac:dyDescent="0.2">
      <c r="A37" s="8" t="s">
        <v>17</v>
      </c>
      <c r="B37" s="8">
        <f>SUBTOTAL(109,Insurance17304356698295108121134147186160173199225251277290303329342355368381394407[Suplanuotos išlaidos])</f>
        <v>170</v>
      </c>
      <c r="C37" s="8">
        <f>SUBTOTAL(109,Insurance17304356698295108121134147186160173199225251277290303329342355368381394407[Išleista])</f>
        <v>250</v>
      </c>
      <c r="D37" s="8">
        <f>SUBTOTAL(109,Insurance17304356698295108121134147186160173199225251277290303329342355368381394407[Skirtumas])</f>
        <v>-80</v>
      </c>
      <c r="E37" s="5"/>
      <c r="F37" s="8" t="s">
        <v>17</v>
      </c>
      <c r="G37" s="8">
        <f>SUBTOTAL(109,Entertainment223548617487100113126139152191165178204230256282295308334347360373386399412[Suplanuotos išlaidos])</f>
        <v>0</v>
      </c>
      <c r="H37" s="8">
        <f>SUBTOTAL(109,Entertainment223548617487100113126139152191165178204230256282295308334347360373386399412[Išleista])</f>
        <v>0</v>
      </c>
      <c r="I37" s="8">
        <f>SUBTOTAL(109,Entertainment223548617487100113126139152191165178204230256282295308334347360373386399412[Skirtumas])</f>
        <v>0</v>
      </c>
    </row>
    <row r="38" spans="1:9" ht="24.4" customHeight="1" x14ac:dyDescent="0.2">
      <c r="A38" s="52"/>
      <c r="B38" s="52"/>
      <c r="C38" s="52"/>
      <c r="D38" s="52"/>
      <c r="E38" s="5"/>
      <c r="F38" s="52"/>
      <c r="G38" s="52"/>
      <c r="H38" s="52"/>
      <c r="I38" s="52"/>
    </row>
    <row r="39" spans="1:9" ht="21.4" customHeight="1" x14ac:dyDescent="0.2">
      <c r="A39" s="6" t="s">
        <v>62</v>
      </c>
      <c r="B39" s="1" t="s">
        <v>5</v>
      </c>
      <c r="C39" s="1" t="s">
        <v>19</v>
      </c>
      <c r="D39" s="1" t="s">
        <v>7</v>
      </c>
      <c r="E39" s="5"/>
      <c r="F39" s="3" t="s">
        <v>40</v>
      </c>
      <c r="G39" s="1" t="s">
        <v>5</v>
      </c>
      <c r="H39" s="1" t="s">
        <v>19</v>
      </c>
      <c r="I39" s="1" t="s">
        <v>7</v>
      </c>
    </row>
    <row r="40" spans="1:9" ht="14.1" customHeight="1" x14ac:dyDescent="0.2">
      <c r="A40" s="5" t="s">
        <v>52</v>
      </c>
      <c r="B40" s="5">
        <v>0</v>
      </c>
      <c r="C40" s="5">
        <v>0</v>
      </c>
      <c r="D40" s="5">
        <f>Food18314457708396109122135148187161174200226252278291304330343356369382395408[Suplanuotos išlaidos]-Food18314457708396109122135148187161174200226252278291304330343356369382395408[Išleista]</f>
        <v>0</v>
      </c>
      <c r="E40" s="5"/>
      <c r="F40" s="5" t="s">
        <v>30</v>
      </c>
      <c r="G40" s="5">
        <v>0</v>
      </c>
      <c r="H40" s="5">
        <v>0</v>
      </c>
      <c r="I40" s="5">
        <f>Taxes243750637689102115128141154193167180206232258284297310336349362375388401414[Suplanuotos išlaidos]-Taxes243750637689102115128141154193167180206232258284297310336349362375388401414[Išleista]</f>
        <v>0</v>
      </c>
    </row>
    <row r="41" spans="1:9" ht="14.1" customHeight="1" x14ac:dyDescent="0.2">
      <c r="A41" s="5" t="s">
        <v>53</v>
      </c>
      <c r="B41" s="5">
        <v>300</v>
      </c>
      <c r="C41" s="5">
        <v>0</v>
      </c>
      <c r="D41" s="5">
        <f>Food18314457708396109122135148187161174200226252278291304330343356369382395408[Suplanuotos išlaidos]-Food18314457708396109122135148187161174200226252278291304330343356369382395408[Išleista]</f>
        <v>300</v>
      </c>
      <c r="E41" s="5"/>
      <c r="F41" s="5" t="s">
        <v>34</v>
      </c>
      <c r="G41" s="5">
        <v>0</v>
      </c>
      <c r="H41" s="5">
        <v>0</v>
      </c>
      <c r="I41" s="5">
        <f>Taxes243750637689102115128141154193167180206232258284297310336349362375388401414[Suplanuotos išlaidos]-Taxes243750637689102115128141154193167180206232258284297310336349362375388401414[Išleista]</f>
        <v>0</v>
      </c>
    </row>
    <row r="42" spans="1:9" ht="14.1" customHeight="1" x14ac:dyDescent="0.2">
      <c r="A42" s="5" t="s">
        <v>98</v>
      </c>
      <c r="B42" s="5">
        <v>200</v>
      </c>
      <c r="C42" s="5">
        <v>0</v>
      </c>
      <c r="D42" s="5">
        <f>Food18314457708396109122135148187161174200226252278291304330343356369382395408[Suplanuotos išlaidos]-Food18314457708396109122135148187161174200226252278291304330343356369382395408[Išleista]</f>
        <v>200</v>
      </c>
      <c r="E42" s="5"/>
      <c r="F42" s="5" t="s">
        <v>26</v>
      </c>
      <c r="G42" s="5">
        <v>0</v>
      </c>
      <c r="H42" s="5">
        <v>0</v>
      </c>
      <c r="I42" s="5">
        <f>Taxes243750637689102115128141154193167180206232258284297310336349362375388401414[Suplanuotos išlaidos]-Taxes243750637689102115128141154193167180206232258284297310336349362375388401414[Išleista]</f>
        <v>0</v>
      </c>
    </row>
    <row r="43" spans="1:9" ht="14.1" customHeight="1" x14ac:dyDescent="0.2">
      <c r="A43" s="5" t="s">
        <v>61</v>
      </c>
      <c r="B43" s="7">
        <v>0</v>
      </c>
      <c r="C43" s="7">
        <v>0</v>
      </c>
      <c r="D43" s="7">
        <f>Food18314457708396109122135148187161174200226252278291304330343356369382395408[Suplanuotos išlaidos]-Food18314457708396109122135148187161174200226252278291304330343356369382395408[Išleista]</f>
        <v>0</v>
      </c>
      <c r="E43" s="5"/>
      <c r="F43" s="5" t="s">
        <v>26</v>
      </c>
      <c r="G43" s="7">
        <v>0</v>
      </c>
      <c r="H43" s="7">
        <v>0</v>
      </c>
      <c r="I43" s="7">
        <f>Taxes243750637689102115128141154193167180206232258284297310336349362375388401414[Suplanuotos išlaidos]-Taxes243750637689102115128141154193167180206232258284297310336349362375388401414[Išleista]</f>
        <v>0</v>
      </c>
    </row>
    <row r="44" spans="1:9" ht="29.45" customHeight="1" x14ac:dyDescent="0.2">
      <c r="A44" s="8" t="s">
        <v>17</v>
      </c>
      <c r="B44" s="8">
        <f>SUBTOTAL(109,Food18314457708396109122135148187161174200226252278291304330343356369382395408[Suplanuotos išlaidos])</f>
        <v>500</v>
      </c>
      <c r="C44" s="8">
        <f>SUBTOTAL(109,Food18314457708396109122135148187161174200226252278291304330343356369382395408[Išleista])</f>
        <v>0</v>
      </c>
      <c r="D44" s="8">
        <f>SUBTOTAL(109,Food18314457708396109122135148187161174200226252278291304330343356369382395408[Skirtumas])</f>
        <v>500</v>
      </c>
      <c r="E44" s="5"/>
      <c r="F44" s="8" t="s">
        <v>17</v>
      </c>
      <c r="G44" s="8">
        <f>SUBTOTAL(109,Taxes243750637689102115128141154193167180206232258284297310336349362375388401414[Suplanuotos išlaidos])</f>
        <v>0</v>
      </c>
      <c r="H44" s="8">
        <f>SUBTOTAL(109,Taxes243750637689102115128141154193167180206232258284297310336349362375388401414[Išleista])</f>
        <v>0</v>
      </c>
      <c r="I44" s="8">
        <f>SUBTOTAL(109,Taxes243750637689102115128141154193167180206232258284297310336349362375388401414[Skirtumas])</f>
        <v>0</v>
      </c>
    </row>
    <row r="45" spans="1:9" ht="14.1" customHeight="1" x14ac:dyDescent="0.2">
      <c r="A45" s="52"/>
      <c r="B45" s="52"/>
      <c r="C45" s="52"/>
      <c r="D45" s="52"/>
      <c r="E45" s="5"/>
      <c r="F45" s="53"/>
      <c r="G45" s="53"/>
      <c r="H45" s="53"/>
      <c r="I45" s="53"/>
    </row>
    <row r="46" spans="1:9" ht="21" customHeight="1" x14ac:dyDescent="0.2">
      <c r="A46" s="6" t="s">
        <v>36</v>
      </c>
      <c r="B46" s="1" t="s">
        <v>5</v>
      </c>
      <c r="C46" s="1" t="s">
        <v>19</v>
      </c>
      <c r="D46" s="1" t="s">
        <v>7</v>
      </c>
      <c r="E46" s="5"/>
      <c r="F46" s="6" t="s">
        <v>27</v>
      </c>
      <c r="G46" s="1" t="s">
        <v>5</v>
      </c>
      <c r="H46" s="1" t="s">
        <v>19</v>
      </c>
      <c r="I46" s="1" t="s">
        <v>7</v>
      </c>
    </row>
    <row r="47" spans="1:9" ht="14.1" customHeight="1" x14ac:dyDescent="0.2">
      <c r="A47" s="5" t="s">
        <v>88</v>
      </c>
      <c r="B47" s="5">
        <v>20</v>
      </c>
      <c r="C47" s="5">
        <v>30</v>
      </c>
      <c r="D47" s="5">
        <f>Children19324558718497110123136149188162175201227253279292305331344357370383396409[Suplanuotos išlaidos]-Children19324558718497110123136149188162175201227253279292305331344357370383396409[Išleista]</f>
        <v>-10</v>
      </c>
      <c r="E47" s="5"/>
      <c r="F47" s="5" t="s">
        <v>28</v>
      </c>
      <c r="G47" s="5">
        <v>0</v>
      </c>
      <c r="H47" s="5">
        <v>0</v>
      </c>
      <c r="I47" s="5">
        <f>PersonalCare21344760738699112125138151190164177203229255281294307333346359372385398411[Suplanuotos išlaidos]-PersonalCare21344760738699112125138151190164177203229255281294307333346359372385398411[Išleista]</f>
        <v>0</v>
      </c>
    </row>
    <row r="48" spans="1:9" ht="14.1" customHeight="1" x14ac:dyDescent="0.2">
      <c r="A48" s="5" t="s">
        <v>58</v>
      </c>
      <c r="B48" s="5">
        <v>25</v>
      </c>
      <c r="C48" s="5">
        <v>100</v>
      </c>
      <c r="D48" s="5">
        <f>Children19324558718497110123136149188162175201227253279292305331344357370383396409[Suplanuotos išlaidos]-Children19324558718497110123136149188162175201227253279292305331344357370383396409[Išleista]</f>
        <v>-75</v>
      </c>
      <c r="E48" s="5"/>
      <c r="F48" s="5" t="s">
        <v>65</v>
      </c>
      <c r="G48" s="5">
        <v>0</v>
      </c>
      <c r="H48" s="5">
        <v>0</v>
      </c>
      <c r="I48" s="5">
        <f>PersonalCare21344760738699112125138151190164177203229255281294307333346359372385398411[Suplanuotos išlaidos]-PersonalCare21344760738699112125138151190164177203229255281294307333346359372385398411[Išleista]</f>
        <v>0</v>
      </c>
    </row>
    <row r="49" spans="1:9" ht="17.45" customHeight="1" x14ac:dyDescent="0.2">
      <c r="A49" s="5" t="s">
        <v>59</v>
      </c>
      <c r="B49" s="5">
        <v>20</v>
      </c>
      <c r="C49" s="5">
        <v>50</v>
      </c>
      <c r="D49" s="5">
        <f>Children19324558718497110123136149188162175201227253279292305331344357370383396409[Suplanuotos išlaidos]-Children19324558718497110123136149188162175201227253279292305331344357370383396409[Išleista]</f>
        <v>-30</v>
      </c>
      <c r="E49" s="5"/>
      <c r="F49" s="5" t="s">
        <v>54</v>
      </c>
      <c r="G49" s="5">
        <v>0</v>
      </c>
      <c r="H49" s="5">
        <v>0</v>
      </c>
      <c r="I49" s="5">
        <f>PersonalCare21344760738699112125138151190164177203229255281294307333346359372385398411[Suplanuotos išlaidos]-PersonalCare21344760738699112125138151190164177203229255281294307333346359372385398411[Išleista]</f>
        <v>0</v>
      </c>
    </row>
    <row r="50" spans="1:9" ht="14.1" customHeight="1" x14ac:dyDescent="0.2">
      <c r="A50" s="5" t="s">
        <v>39</v>
      </c>
      <c r="B50" s="5">
        <v>0</v>
      </c>
      <c r="C50" s="5">
        <v>0</v>
      </c>
      <c r="D50" s="5">
        <f>Children19324558718497110123136149188162175201227253279292305331344357370383396409[Suplanuotos išlaidos]-Children19324558718497110123136149188162175201227253279292305331344357370383396409[Išleista]</f>
        <v>0</v>
      </c>
      <c r="E50" s="5"/>
      <c r="F50" s="5" t="s">
        <v>29</v>
      </c>
      <c r="G50" s="5">
        <v>0</v>
      </c>
      <c r="H50" s="5">
        <v>0</v>
      </c>
      <c r="I50" s="5">
        <f>PersonalCare21344760738699112125138151190164177203229255281294307333346359372385398411[Suplanuotos išlaidos]-PersonalCare21344760738699112125138151190164177203229255281294307333346359372385398411[Išleista]</f>
        <v>0</v>
      </c>
    </row>
    <row r="51" spans="1:9" ht="14.1" customHeight="1" x14ac:dyDescent="0.2">
      <c r="A51" s="5" t="s">
        <v>37</v>
      </c>
      <c r="B51" s="5">
        <v>0</v>
      </c>
      <c r="C51" s="5">
        <v>0</v>
      </c>
      <c r="D51" s="5">
        <f>Children19324558718497110123136149188162175201227253279292305331344357370383396409[Suplanuotos išlaidos]-Children19324558718497110123136149188162175201227253279292305331344357370383396409[Išleista]</f>
        <v>0</v>
      </c>
      <c r="E51" s="5"/>
      <c r="F51" s="5"/>
      <c r="G51" s="5">
        <v>0</v>
      </c>
      <c r="H51" s="5">
        <v>0</v>
      </c>
      <c r="I51" s="5">
        <f>PersonalCare21344760738699112125138151190164177203229255281294307333346359372385398411[Suplanuotos išlaidos]-PersonalCare21344760738699112125138151190164177203229255281294307333346359372385398411[Išleista]</f>
        <v>0</v>
      </c>
    </row>
    <row r="52" spans="1:9" ht="14.1" customHeight="1" x14ac:dyDescent="0.2">
      <c r="A52" s="5" t="s">
        <v>26</v>
      </c>
      <c r="B52" s="5">
        <v>0</v>
      </c>
      <c r="C52" s="5">
        <v>0</v>
      </c>
      <c r="D52" s="5">
        <f>Children19324558718497110123136149188162175201227253279292305331344357370383396409[Suplanuotos išlaidos]-Children19324558718497110123136149188162175201227253279292305331344357370383396409[Išleista]</f>
        <v>0</v>
      </c>
      <c r="E52" s="5"/>
      <c r="F52" s="5"/>
      <c r="G52" s="5">
        <v>0</v>
      </c>
      <c r="H52" s="5">
        <v>0</v>
      </c>
      <c r="I52" s="5">
        <f>PersonalCare21344760738699112125138151190164177203229255281294307333346359372385398411[Suplanuotos išlaidos]-PersonalCare21344760738699112125138151190164177203229255281294307333346359372385398411[Išleista]</f>
        <v>0</v>
      </c>
    </row>
    <row r="53" spans="1:9" ht="14.1" customHeight="1" x14ac:dyDescent="0.2">
      <c r="A53" s="5"/>
      <c r="B53" s="5">
        <v>0</v>
      </c>
      <c r="C53" s="5">
        <v>0</v>
      </c>
      <c r="D53" s="5">
        <f>Children19324558718497110123136149188162175201227253279292305331344357370383396409[Suplanuotos išlaidos]-Children19324558718497110123136149188162175201227253279292305331344357370383396409[Išleista]</f>
        <v>0</v>
      </c>
      <c r="E53" s="5"/>
      <c r="F53" s="5"/>
      <c r="G53" s="5">
        <v>0</v>
      </c>
      <c r="H53" s="5">
        <v>0</v>
      </c>
      <c r="I53" s="5">
        <f>PersonalCare21344760738699112125138151190164177203229255281294307333346359372385398411[Suplanuotos išlaidos]-PersonalCare21344760738699112125138151190164177203229255281294307333346359372385398411[Išleista]</f>
        <v>0</v>
      </c>
    </row>
    <row r="54" spans="1:9" ht="14.1" customHeight="1" x14ac:dyDescent="0.2">
      <c r="A54" s="8" t="s">
        <v>17</v>
      </c>
      <c r="B54" s="8">
        <f>SUBTOTAL(109,Children19324558718497110123136149188162175201227253279292305331344357370383396409[Suplanuotos išlaidos])</f>
        <v>65</v>
      </c>
      <c r="C54" s="8">
        <f>SUBTOTAL(109,Children19324558718497110123136149188162175201227253279292305331344357370383396409[Išleista])</f>
        <v>180</v>
      </c>
      <c r="D54" s="8">
        <f>SUBTOTAL(109,Children19324558718497110123136149188162175201227253279292305331344357370383396409[Skirtumas])</f>
        <v>-115</v>
      </c>
      <c r="E54" s="5"/>
      <c r="F54" s="8" t="s">
        <v>17</v>
      </c>
      <c r="G54" s="8">
        <f>SUBTOTAL(109,PersonalCare21344760738699112125138151190164177203229255281294307333346359372385398411[Suplanuotos išlaidos])</f>
        <v>0</v>
      </c>
      <c r="H54" s="8">
        <f>SUBTOTAL(109,PersonalCare21344760738699112125138151190164177203229255281294307333346359372385398411[Išleista])</f>
        <v>0</v>
      </c>
      <c r="I54" s="8">
        <f>SUBTOTAL(109,PersonalCare21344760738699112125138151190164177203229255281294307333346359372385398411[Skirtumas])</f>
        <v>0</v>
      </c>
    </row>
    <row r="55" spans="1:9" ht="14.1" customHeight="1" x14ac:dyDescent="0.2">
      <c r="A55" s="52"/>
      <c r="B55" s="52"/>
      <c r="C55" s="52"/>
      <c r="D55" s="52"/>
      <c r="E55" s="5"/>
      <c r="F55" s="53"/>
      <c r="G55" s="53"/>
      <c r="H55" s="53"/>
      <c r="I55" s="53"/>
    </row>
    <row r="56" spans="1:9" ht="27.6" customHeight="1" x14ac:dyDescent="0.2">
      <c r="A56" s="3" t="s">
        <v>64</v>
      </c>
      <c r="B56" s="1" t="s">
        <v>5</v>
      </c>
      <c r="C56" s="1" t="s">
        <v>19</v>
      </c>
      <c r="D56" s="1" t="s">
        <v>7</v>
      </c>
      <c r="E56" s="5"/>
      <c r="F56" s="6" t="s">
        <v>60</v>
      </c>
      <c r="G56" s="1" t="s">
        <v>5</v>
      </c>
      <c r="H56" s="1" t="s">
        <v>19</v>
      </c>
      <c r="I56" s="1" t="s">
        <v>7</v>
      </c>
    </row>
    <row r="57" spans="1:9" ht="14.1" customHeight="1" x14ac:dyDescent="0.2">
      <c r="A57" s="5" t="s">
        <v>41</v>
      </c>
      <c r="B57" s="5">
        <v>0</v>
      </c>
      <c r="C57" s="5">
        <v>0</v>
      </c>
      <c r="D57" s="5">
        <f>Legal274053667992105118131144157196170183209235261287300313339352365378391404417[Suplanuotos išlaidos]-Legal274053667992105118131144157196170183209235261287300313339352365378391404417[Išleista]</f>
        <v>0</v>
      </c>
      <c r="E57" s="5"/>
      <c r="F57" s="5" t="s">
        <v>63</v>
      </c>
      <c r="G57" s="5">
        <v>0</v>
      </c>
      <c r="H57" s="5">
        <v>0</v>
      </c>
      <c r="I57" s="5">
        <f>Pets20334659728598111124137150189163176202228254280293306332345358371384397410[Suplanuotos išlaidos]-Pets20334659728598111124137150189163176202228254280293306332345358371384397410[Išleista]</f>
        <v>0</v>
      </c>
    </row>
    <row r="58" spans="1:9" ht="14.1" customHeight="1" x14ac:dyDescent="0.2">
      <c r="A58" s="5" t="s">
        <v>42</v>
      </c>
      <c r="B58" s="5">
        <v>0</v>
      </c>
      <c r="C58" s="5">
        <v>0</v>
      </c>
      <c r="D58" s="5">
        <f>Legal274053667992105118131144157196170183209235261287300313339352365378391404417[Suplanuotos išlaidos]-Legal274053667992105118131144157196170183209235261287300313339352365378391404417[Išleista]</f>
        <v>0</v>
      </c>
      <c r="E58" s="5"/>
      <c r="F58" s="5" t="s">
        <v>66</v>
      </c>
      <c r="G58" s="5">
        <v>0</v>
      </c>
      <c r="H58" s="5">
        <v>0</v>
      </c>
      <c r="I58" s="5">
        <f>Pets20334659728598111124137150189163176202228254280293306332345358371384397410[Suplanuotos išlaidos]-Pets20334659728598111124137150189163176202228254280293306332345358371384397410[Išleista]</f>
        <v>0</v>
      </c>
    </row>
    <row r="59" spans="1:9" ht="14.1" customHeight="1" x14ac:dyDescent="0.2">
      <c r="A59" s="8" t="s">
        <v>43</v>
      </c>
      <c r="B59" s="5">
        <v>100</v>
      </c>
      <c r="C59" s="5">
        <v>100</v>
      </c>
      <c r="D59" s="5">
        <f>Legal274053667992105118131144157196170183209235261287300313339352365378391404417[Suplanuotos išlaidos]-Legal274053667992105118131144157196170183209235261287300313339352365378391404417[Išleista]</f>
        <v>0</v>
      </c>
      <c r="E59" s="5"/>
      <c r="F59" s="5"/>
      <c r="G59" s="5">
        <v>0</v>
      </c>
      <c r="H59" s="5">
        <v>0</v>
      </c>
      <c r="I59" s="5">
        <f>Pets20334659728598111124137150189163176202228254280293306332345358371384397410[Suplanuotos išlaidos]-Pets20334659728598111124137150189163176202228254280293306332345358371384397410[Išleista]</f>
        <v>0</v>
      </c>
    </row>
    <row r="60" spans="1:9" ht="14.1" customHeight="1" x14ac:dyDescent="0.2">
      <c r="A60" s="5"/>
      <c r="B60" s="5">
        <v>0</v>
      </c>
      <c r="C60" s="5">
        <v>0</v>
      </c>
      <c r="D60" s="5">
        <f>Legal274053667992105118131144157196170183209235261287300313339352365378391404417[Suplanuotos išlaidos]-Legal274053667992105118131144157196170183209235261287300313339352365378391404417[Išleista]</f>
        <v>0</v>
      </c>
      <c r="E60" s="5"/>
      <c r="F60" s="5"/>
      <c r="G60" s="5">
        <v>0</v>
      </c>
      <c r="H60" s="5">
        <v>0</v>
      </c>
      <c r="I60" s="5">
        <f>Pets20334659728598111124137150189163176202228254280293306332345358371384397410[Suplanuotos išlaidos]-Pets20334659728598111124137150189163176202228254280293306332345358371384397410[Išleista]</f>
        <v>0</v>
      </c>
    </row>
    <row r="61" spans="1:9" ht="14.1" customHeight="1" x14ac:dyDescent="0.2">
      <c r="A61" s="5"/>
      <c r="B61" s="7">
        <v>0</v>
      </c>
      <c r="C61" s="7">
        <v>0</v>
      </c>
      <c r="D61" s="7">
        <f>Legal274053667992105118131144157196170183209235261287300313339352365378391404417[Suplanuotos išlaidos]-Legal274053667992105118131144157196170183209235261287300313339352365378391404417[Išleista]</f>
        <v>0</v>
      </c>
      <c r="E61" s="5"/>
      <c r="F61" s="5"/>
      <c r="G61" s="5">
        <v>0</v>
      </c>
      <c r="H61" s="5">
        <v>0</v>
      </c>
      <c r="I61" s="5">
        <f>Pets20334659728598111124137150189163176202228254280293306332345358371384397410[Suplanuotos išlaidos]-Pets20334659728598111124137150189163176202228254280293306332345358371384397410[Išleista]</f>
        <v>0</v>
      </c>
    </row>
    <row r="62" spans="1:9" ht="14.1" customHeight="1" x14ac:dyDescent="0.2">
      <c r="A62" s="8" t="s">
        <v>17</v>
      </c>
      <c r="B62" s="8">
        <f>SUBTOTAL(109,Legal274053667992105118131144157196170183209235261287300313339352365378391404417[Suplanuotos išlaidos])</f>
        <v>100</v>
      </c>
      <c r="C62" s="8">
        <f>SUBTOTAL(109,Legal274053667992105118131144157196170183209235261287300313339352365378391404417[Išleista])</f>
        <v>100</v>
      </c>
      <c r="D62" s="8">
        <f>SUBTOTAL(109,Legal274053667992105118131144157196170183209235261287300313339352365378391404417[Skirtumas])</f>
        <v>0</v>
      </c>
      <c r="E62" s="5"/>
      <c r="F62" s="8" t="s">
        <v>17</v>
      </c>
      <c r="G62" s="8">
        <f>SUBTOTAL(109,Pets20334659728598111124137150189163176202228254280293306332345358371384397410[Suplanuotos išlaidos])</f>
        <v>0</v>
      </c>
      <c r="H62" s="8">
        <f>SUBTOTAL(109,Pets20334659728598111124137150189163176202228254280293306332345358371384397410[Išleista])</f>
        <v>0</v>
      </c>
      <c r="I62" s="8">
        <f>SUBTOTAL(109,Pets20334659728598111124137150189163176202228254280293306332345358371384397410[Skirtumas])</f>
        <v>0</v>
      </c>
    </row>
    <row r="63" spans="1:9" ht="22.9" customHeight="1" x14ac:dyDescent="0.2">
      <c r="A63" s="52"/>
      <c r="B63" s="52"/>
      <c r="C63" s="52"/>
      <c r="D63" s="52"/>
      <c r="E63" s="5"/>
      <c r="F63" s="52"/>
      <c r="G63" s="52"/>
      <c r="H63" s="52"/>
      <c r="I63" s="52"/>
    </row>
    <row r="64" spans="1:9" ht="30.6" customHeight="1" x14ac:dyDescent="0.2">
      <c r="A64" s="3" t="s">
        <v>48</v>
      </c>
      <c r="B64" s="1" t="s">
        <v>5</v>
      </c>
      <c r="C64" s="1" t="s">
        <v>19</v>
      </c>
      <c r="D64" s="1" t="s">
        <v>7</v>
      </c>
      <c r="E64" s="5"/>
      <c r="F64" s="3" t="s">
        <v>48</v>
      </c>
      <c r="G64" s="1" t="s">
        <v>5</v>
      </c>
      <c r="H64" s="1" t="s">
        <v>19</v>
      </c>
      <c r="I64" s="1" t="s">
        <v>7</v>
      </c>
    </row>
    <row r="65" spans="1:9" ht="14.1" customHeight="1" x14ac:dyDescent="0.2">
      <c r="A65" s="5"/>
      <c r="B65" s="5">
        <v>0</v>
      </c>
      <c r="C65" s="5">
        <v>0</v>
      </c>
      <c r="D65" s="5">
        <f>Savings253851647790103116129142155194168181207233259285298311337350363376389402415[Suplanuotos išlaidos]-Savings253851647790103116129142155194168181207233259285298311337350363376389402415[Išleista]</f>
        <v>0</v>
      </c>
      <c r="E65" s="5"/>
      <c r="F65" s="5"/>
      <c r="G65" s="5">
        <v>0</v>
      </c>
      <c r="H65" s="5">
        <v>0</v>
      </c>
      <c r="I65" s="5">
        <f>Gifts263952657891104117130143156195169182208234260286299312338351364377390403416[Suplanuotos išlaidos]-Gifts263952657891104117130143156195169182208234260286299312338351364377390403416[Išleista]</f>
        <v>0</v>
      </c>
    </row>
    <row r="66" spans="1:9" ht="14.1" customHeight="1" x14ac:dyDescent="0.2">
      <c r="A66" s="5"/>
      <c r="B66" s="5">
        <v>0</v>
      </c>
      <c r="C66" s="5">
        <v>0</v>
      </c>
      <c r="D66" s="5">
        <f>Savings253851647790103116129142155194168181207233259285298311337350363376389402415[Suplanuotos išlaidos]-Savings253851647790103116129142155194168181207233259285298311337350363376389402415[Išleista]</f>
        <v>0</v>
      </c>
      <c r="E66" s="5"/>
      <c r="F66" s="5"/>
      <c r="G66" s="5">
        <v>0</v>
      </c>
      <c r="H66" s="5">
        <v>0</v>
      </c>
      <c r="I66" s="5">
        <f>Gifts263952657891104117130143156195169182208234260286299312338351364377390403416[Suplanuotos išlaidos]-Gifts263952657891104117130143156195169182208234260286299312338351364377390403416[Išleista]</f>
        <v>0</v>
      </c>
    </row>
    <row r="67" spans="1:9" ht="14.1" customHeight="1" x14ac:dyDescent="0.2">
      <c r="A67" s="5"/>
      <c r="B67" s="5">
        <v>0</v>
      </c>
      <c r="C67" s="5">
        <v>0</v>
      </c>
      <c r="D67" s="5">
        <f>Savings253851647790103116129142155194168181207233259285298311337350363376389402415[Suplanuotos išlaidos]-Savings253851647790103116129142155194168181207233259285298311337350363376389402415[Išleista]</f>
        <v>0</v>
      </c>
      <c r="E67" s="5"/>
      <c r="F67" s="5"/>
      <c r="G67" s="5">
        <v>0</v>
      </c>
      <c r="H67" s="5">
        <v>0</v>
      </c>
      <c r="I67" s="5">
        <f>Gifts263952657891104117130143156195169182208234260286299312338351364377390403416[Suplanuotos išlaidos]-Gifts263952657891104117130143156195169182208234260286299312338351364377390403416[Išleista]</f>
        <v>0</v>
      </c>
    </row>
    <row r="68" spans="1:9" ht="14.1" customHeight="1" x14ac:dyDescent="0.2">
      <c r="A68" s="5"/>
      <c r="B68" s="5">
        <v>0</v>
      </c>
      <c r="C68" s="5">
        <v>0</v>
      </c>
      <c r="D68" s="5">
        <f>Savings253851647790103116129142155194168181207233259285298311337350363376389402415[Suplanuotos išlaidos]-Savings253851647790103116129142155194168181207233259285298311337350363376389402415[Išleista]</f>
        <v>0</v>
      </c>
      <c r="E68" s="5"/>
      <c r="F68" s="5"/>
      <c r="G68" s="5">
        <v>0</v>
      </c>
      <c r="H68" s="5">
        <v>0</v>
      </c>
      <c r="I68" s="5">
        <f>Gifts263952657891104117130143156195169182208234260286299312338351364377390403416[Suplanuotos išlaidos]-Gifts263952657891104117130143156195169182208234260286299312338351364377390403416[Išleista]</f>
        <v>0</v>
      </c>
    </row>
    <row r="69" spans="1:9" x14ac:dyDescent="0.2">
      <c r="A69" s="8" t="s">
        <v>17</v>
      </c>
      <c r="B69" s="8">
        <f>SUBTOTAL(109,Savings253851647790103116129142155194168181207233259285298311337350363376389402415[Suplanuotos išlaidos])</f>
        <v>0</v>
      </c>
      <c r="C69" s="8">
        <f>SUBTOTAL(109,Savings253851647790103116129142155194168181207233259285298311337350363376389402415[Išleista])</f>
        <v>0</v>
      </c>
      <c r="D69" s="8">
        <f>SUBTOTAL(109,Savings253851647790103116129142155194168181207233259285298311337350363376389402415[Skirtumas])</f>
        <v>0</v>
      </c>
      <c r="F69" s="8" t="s">
        <v>17</v>
      </c>
      <c r="G69" s="8">
        <f>SUBTOTAL(109,Gifts263952657891104117130143156195169182208234260286299312338351364377390403416[Suplanuotos išlaidos])</f>
        <v>0</v>
      </c>
      <c r="H69" s="8">
        <f>SUBTOTAL(109,Gifts263952657891104117130143156195169182208234260286299312338351364377390403416[Išleista])</f>
        <v>0</v>
      </c>
      <c r="I69" s="8">
        <f>SUBTOTAL(109,Gifts263952657891104117130143156195169182208234260286299312338351364377390403416[Skirtumas])</f>
        <v>0</v>
      </c>
    </row>
  </sheetData>
  <mergeCells count="16">
    <mergeCell ref="A19:D19"/>
    <mergeCell ref="A55:D55"/>
    <mergeCell ref="F55:I55"/>
    <mergeCell ref="A63:D63"/>
    <mergeCell ref="F63:I63"/>
    <mergeCell ref="F30:I30"/>
    <mergeCell ref="A30:D30"/>
    <mergeCell ref="A38:D38"/>
    <mergeCell ref="F38:I38"/>
    <mergeCell ref="A45:D45"/>
    <mergeCell ref="F45:I45"/>
    <mergeCell ref="A1:G1"/>
    <mergeCell ref="A3:B3"/>
    <mergeCell ref="F3:G3"/>
    <mergeCell ref="F9:G9"/>
    <mergeCell ref="H10:I10"/>
  </mergeCells>
  <conditionalFormatting sqref="D7:D17 I57:I61 I47:I53 I40:I43 I32:I36 D65:D68 D57:D61 D47:D53 D40:D43 D21:D28 G17 I65:I68 I21:I28 D32:D36">
    <cfRule type="iconSet" priority="2">
      <iconSet iconSet="3Arrows">
        <cfvo type="percentile" val="0"/>
        <cfvo type="num" val="-50"/>
        <cfvo type="num" val="50"/>
      </iconSet>
    </cfRule>
  </conditionalFormatting>
  <pageMargins left="0.7" right="0.7" top="0.75" bottom="0.75" header="0.3" footer="0.3"/>
  <pageSetup paperSize="9" orientation="portrait" r:id="rId1"/>
  <tableParts count="13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CBC14-8491-42E2-8D9C-813AB05DE7D9}">
  <dimension ref="A1:E36"/>
  <sheetViews>
    <sheetView workbookViewId="0">
      <selection activeCell="B27" sqref="B27"/>
    </sheetView>
  </sheetViews>
  <sheetFormatPr defaultRowHeight="15" x14ac:dyDescent="0.25"/>
  <cols>
    <col min="1" max="1" width="32.28515625" customWidth="1"/>
    <col min="2" max="2" width="13.7109375" customWidth="1"/>
  </cols>
  <sheetData>
    <row r="1" spans="1:5" x14ac:dyDescent="0.25">
      <c r="A1" s="55" t="s">
        <v>93</v>
      </c>
      <c r="B1" s="55"/>
      <c r="C1" s="55"/>
    </row>
    <row r="3" spans="1:5" x14ac:dyDescent="0.25">
      <c r="B3" s="38" t="s">
        <v>81</v>
      </c>
      <c r="C3" s="38" t="s">
        <v>82</v>
      </c>
    </row>
    <row r="4" spans="1:5" x14ac:dyDescent="0.25">
      <c r="A4" s="29" t="s">
        <v>83</v>
      </c>
      <c r="B4" s="30">
        <f>B16/B36</f>
        <v>0.46944444444444444</v>
      </c>
      <c r="C4" s="30">
        <f>(C16/C36)</f>
        <v>0.48997000000000002</v>
      </c>
      <c r="E4" s="41" t="s">
        <v>91</v>
      </c>
    </row>
    <row r="5" spans="1:5" x14ac:dyDescent="0.25">
      <c r="A5" s="31" t="s">
        <v>9</v>
      </c>
      <c r="B5" s="32">
        <f>biudžetas!B7</f>
        <v>550</v>
      </c>
      <c r="C5" s="32">
        <f>biudžetas!C7</f>
        <v>550</v>
      </c>
    </row>
    <row r="6" spans="1:5" x14ac:dyDescent="0.25">
      <c r="A6" s="31" t="s">
        <v>12</v>
      </c>
      <c r="B6" s="32">
        <f>biudžetas!B9</f>
        <v>50</v>
      </c>
      <c r="C6" s="32">
        <f>biudžetas!C9</f>
        <v>50</v>
      </c>
      <c r="E6" t="s">
        <v>94</v>
      </c>
    </row>
    <row r="7" spans="1:5" x14ac:dyDescent="0.25">
      <c r="A7" s="31" t="s">
        <v>85</v>
      </c>
      <c r="B7" s="32">
        <f>biudžetas!B25</f>
        <v>40</v>
      </c>
      <c r="C7" s="32">
        <f>biudžetas!C25</f>
        <v>84.94</v>
      </c>
      <c r="E7" t="s">
        <v>95</v>
      </c>
    </row>
    <row r="8" spans="1:5" x14ac:dyDescent="0.25">
      <c r="A8" s="31" t="s">
        <v>69</v>
      </c>
      <c r="B8" s="32">
        <v>0</v>
      </c>
      <c r="C8" s="32">
        <v>0</v>
      </c>
      <c r="E8" t="s">
        <v>96</v>
      </c>
    </row>
    <row r="9" spans="1:5" x14ac:dyDescent="0.25">
      <c r="A9" s="31" t="s">
        <v>84</v>
      </c>
      <c r="B9" s="32">
        <f>biudžetas!B14+biudžetas!B15</f>
        <v>0</v>
      </c>
      <c r="C9" s="32">
        <f>biudžetas!C14+biudžetas!C15</f>
        <v>0</v>
      </c>
    </row>
    <row r="10" spans="1:5" x14ac:dyDescent="0.25">
      <c r="A10" s="31" t="s">
        <v>86</v>
      </c>
      <c r="B10" s="32">
        <f>biudžetas!B32</f>
        <v>150</v>
      </c>
      <c r="C10" s="32">
        <f>biudžetas!C32</f>
        <v>200</v>
      </c>
    </row>
    <row r="11" spans="1:5" x14ac:dyDescent="0.25">
      <c r="A11" s="31" t="s">
        <v>11</v>
      </c>
      <c r="B11" s="32">
        <f>biudžetas!B8</f>
        <v>15</v>
      </c>
      <c r="C11" s="32">
        <f>biudžetas!C8</f>
        <v>15</v>
      </c>
    </row>
    <row r="12" spans="1:5" x14ac:dyDescent="0.25">
      <c r="A12" s="40"/>
      <c r="B12" s="32">
        <f>biudžetas!B16+biudžetas!B17</f>
        <v>0</v>
      </c>
      <c r="C12" s="32">
        <f>biudžetas!C16+biudžetas!C17</f>
        <v>0</v>
      </c>
      <c r="D12" s="42"/>
    </row>
    <row r="13" spans="1:5" x14ac:dyDescent="0.25">
      <c r="A13" s="31" t="s">
        <v>88</v>
      </c>
      <c r="B13" s="32">
        <f>biudžetas!B47</f>
        <v>20</v>
      </c>
      <c r="C13" s="32">
        <f>biudžetas!C47</f>
        <v>30</v>
      </c>
    </row>
    <row r="14" spans="1:5" x14ac:dyDescent="0.25">
      <c r="A14" s="31" t="s">
        <v>59</v>
      </c>
      <c r="B14" s="32">
        <f>biudžetas!B49</f>
        <v>20</v>
      </c>
      <c r="C14" s="32">
        <f>biudžetas!C49</f>
        <v>50</v>
      </c>
    </row>
    <row r="15" spans="1:5" x14ac:dyDescent="0.25">
      <c r="A15" s="31" t="s">
        <v>97</v>
      </c>
      <c r="B15" s="32">
        <f>biudžetas!B13</f>
        <v>0</v>
      </c>
      <c r="C15" s="32">
        <f>biudžetas!C13</f>
        <v>0</v>
      </c>
    </row>
    <row r="16" spans="1:5" x14ac:dyDescent="0.25">
      <c r="A16" s="33" t="s">
        <v>70</v>
      </c>
      <c r="B16" s="34">
        <f>SUM(B5:B15)</f>
        <v>845</v>
      </c>
      <c r="C16" s="34">
        <f>SUM(C5:C15)</f>
        <v>979.94</v>
      </c>
    </row>
    <row r="17" spans="1:3" x14ac:dyDescent="0.25">
      <c r="A17" s="29" t="s">
        <v>71</v>
      </c>
      <c r="B17" s="30">
        <f>B21/B36</f>
        <v>0</v>
      </c>
      <c r="C17" s="30">
        <f>C21/C36</f>
        <v>0</v>
      </c>
    </row>
    <row r="18" spans="1:3" x14ac:dyDescent="0.25">
      <c r="A18" s="31" t="s">
        <v>72</v>
      </c>
      <c r="B18" s="32">
        <v>0</v>
      </c>
      <c r="C18" s="32">
        <v>0</v>
      </c>
    </row>
    <row r="19" spans="1:3" x14ac:dyDescent="0.25">
      <c r="A19" s="31" t="s">
        <v>73</v>
      </c>
      <c r="B19" s="32">
        <v>0</v>
      </c>
      <c r="C19" s="32">
        <v>0</v>
      </c>
    </row>
    <row r="20" spans="1:3" x14ac:dyDescent="0.25">
      <c r="A20" s="31"/>
      <c r="B20" s="32">
        <v>0</v>
      </c>
      <c r="C20" s="32">
        <v>0</v>
      </c>
    </row>
    <row r="21" spans="1:3" x14ac:dyDescent="0.25">
      <c r="A21" s="33" t="s">
        <v>74</v>
      </c>
      <c r="B21" s="34">
        <f>SUM(B18:B20)</f>
        <v>0</v>
      </c>
      <c r="C21" s="34">
        <f>SUM(C18:C20)</f>
        <v>0</v>
      </c>
    </row>
    <row r="22" spans="1:3" x14ac:dyDescent="0.25">
      <c r="A22" s="29" t="s">
        <v>75</v>
      </c>
      <c r="B22" s="30">
        <f>B26/B36</f>
        <v>0.1111111111111111</v>
      </c>
      <c r="C22" s="30">
        <f>C26/C36</f>
        <v>0</v>
      </c>
    </row>
    <row r="23" spans="1:3" x14ac:dyDescent="0.25">
      <c r="A23" s="31" t="s">
        <v>76</v>
      </c>
      <c r="B23" s="32">
        <f>biudžetas!B42</f>
        <v>200</v>
      </c>
      <c r="C23" s="32">
        <f>biudžetas!C42</f>
        <v>0</v>
      </c>
    </row>
    <row r="24" spans="1:3" x14ac:dyDescent="0.25">
      <c r="A24" s="31" t="s">
        <v>77</v>
      </c>
      <c r="B24" s="32">
        <v>0</v>
      </c>
      <c r="C24" s="32">
        <v>0</v>
      </c>
    </row>
    <row r="25" spans="1:3" x14ac:dyDescent="0.25">
      <c r="A25" s="31"/>
      <c r="B25" s="32">
        <v>0</v>
      </c>
      <c r="C25" s="32">
        <v>0</v>
      </c>
    </row>
    <row r="26" spans="1:3" x14ac:dyDescent="0.25">
      <c r="A26" s="33" t="s">
        <v>78</v>
      </c>
      <c r="B26" s="34">
        <f>SUM(B23:B25)</f>
        <v>200</v>
      </c>
      <c r="C26" s="34">
        <f>SUM(C23:C25)</f>
        <v>0</v>
      </c>
    </row>
    <row r="27" spans="1:3" x14ac:dyDescent="0.25">
      <c r="A27" s="29" t="s">
        <v>79</v>
      </c>
      <c r="B27" s="30">
        <f>B34/B36</f>
        <v>8.0555555555555561E-2</v>
      </c>
      <c r="C27" s="30">
        <f>C34/C36</f>
        <v>0.125</v>
      </c>
    </row>
    <row r="28" spans="1:3" x14ac:dyDescent="0.25">
      <c r="A28" s="31" t="s">
        <v>87</v>
      </c>
      <c r="B28" s="35">
        <f>biudžetas!B33</f>
        <v>20</v>
      </c>
      <c r="C28" s="35">
        <f>biudžetas!C33</f>
        <v>50</v>
      </c>
    </row>
    <row r="29" spans="1:3" x14ac:dyDescent="0.25">
      <c r="A29" s="31" t="s">
        <v>89</v>
      </c>
      <c r="B29" s="35">
        <f>biudžetas!B48</f>
        <v>25</v>
      </c>
      <c r="C29" s="35">
        <f>biudžetas!C48</f>
        <v>100</v>
      </c>
    </row>
    <row r="30" spans="1:3" x14ac:dyDescent="0.25">
      <c r="A30" s="31" t="s">
        <v>41</v>
      </c>
      <c r="B30" s="35">
        <f>biudžetas!B57</f>
        <v>0</v>
      </c>
      <c r="C30" s="35">
        <f>biudžetas!C57</f>
        <v>0</v>
      </c>
    </row>
    <row r="31" spans="1:3" x14ac:dyDescent="0.25">
      <c r="A31" s="31" t="s">
        <v>90</v>
      </c>
      <c r="B31" s="35">
        <f>biudžetas!B59</f>
        <v>100</v>
      </c>
      <c r="C31" s="35">
        <f>biudžetas!C59</f>
        <v>100</v>
      </c>
    </row>
    <row r="32" spans="1:3" x14ac:dyDescent="0.25">
      <c r="A32" s="31" t="s">
        <v>63</v>
      </c>
      <c r="B32" s="35">
        <f>biudžetas!G57</f>
        <v>0</v>
      </c>
      <c r="C32" s="35">
        <f>biudžetas!H57</f>
        <v>0</v>
      </c>
    </row>
    <row r="33" spans="1:3" x14ac:dyDescent="0.25">
      <c r="A33" s="31" t="s">
        <v>54</v>
      </c>
      <c r="B33" s="35">
        <f>biudžetas!G49</f>
        <v>0</v>
      </c>
      <c r="C33" s="35">
        <f>biudžetas!H49</f>
        <v>0</v>
      </c>
    </row>
    <row r="34" spans="1:3" x14ac:dyDescent="0.25">
      <c r="A34" s="33" t="s">
        <v>80</v>
      </c>
      <c r="B34" s="36">
        <f>SUM(B28:B33)</f>
        <v>145</v>
      </c>
      <c r="C34" s="36">
        <f>SUM(C28:C33)</f>
        <v>250</v>
      </c>
    </row>
    <row r="35" spans="1:3" x14ac:dyDescent="0.25">
      <c r="B35" s="37"/>
    </row>
    <row r="36" spans="1:3" x14ac:dyDescent="0.25">
      <c r="A36" s="39" t="s">
        <v>92</v>
      </c>
      <c r="B36" s="39">
        <f>biudžetas!G7</f>
        <v>1800</v>
      </c>
      <c r="C36" s="39">
        <f>biudžetas!G13</f>
        <v>2000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5243E-CF42-4F30-BCC2-2528F359ABC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5A519-1E5D-4516-84B9-20156DDA785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biudžetas</vt:lpstr>
      <vt:lpstr>išlaidos%</vt:lpstr>
      <vt:lpstr>Lapas2</vt:lpstr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Visita Ivaskeviciute</cp:lastModifiedBy>
  <cp:lastPrinted>2024-04-24T16:19:40Z</cp:lastPrinted>
  <dcterms:created xsi:type="dcterms:W3CDTF">2015-06-05T18:19:34Z</dcterms:created>
  <dcterms:modified xsi:type="dcterms:W3CDTF">2024-05-11T12:59:45Z</dcterms:modified>
</cp:coreProperties>
</file>